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aPasta_de_trabalho"/>
  <bookViews>
    <workbookView xWindow="65506" yWindow="65161" windowWidth="12000" windowHeight="6570" activeTab="0"/>
  </bookViews>
  <sheets>
    <sheet name="Leia-me" sheetId="1" r:id="rId1"/>
    <sheet name="Entradas" sheetId="2" r:id="rId2"/>
    <sheet name="Lucros normalizados" sheetId="3" r:id="rId3"/>
    <sheet name="valuation" sheetId="4" r:id="rId4"/>
    <sheet name="Médias industriais" sheetId="5" r:id="rId5"/>
  </sheets>
  <externalReferences>
    <externalReference r:id="rId8"/>
  </externalReferences>
  <definedNames>
    <definedName name="TABLE" localSheetId="1">'Entradas'!$E$8:$E$8</definedName>
    <definedName name="TABLE" localSheetId="2">'Lucros normalizados'!$B$15:$J$24</definedName>
    <definedName name="TABLE_10" localSheetId="2">'Lucros normalizados'!$C$29:$J$37</definedName>
    <definedName name="TABLE_11" localSheetId="2">'Lucros normalizados'!$D$26:$K$27</definedName>
    <definedName name="TABLE_12" localSheetId="2">'Lucros normalizados'!$D$26:$K$27</definedName>
    <definedName name="TABLE_13" localSheetId="2">'Lucros normalizados'!$F$24:$J$24</definedName>
    <definedName name="TABLE_14" localSheetId="2">'Lucros normalizados'!$F$24:$J$24</definedName>
    <definedName name="TABLE_15" localSheetId="2">'Lucros normalizados'!$K$24:$L$24</definedName>
    <definedName name="TABLE_16" localSheetId="2">'Lucros normalizados'!$K$24:$L$24</definedName>
    <definedName name="TABLE_17" localSheetId="2">'Lucros normalizados'!$K$24:$L$24</definedName>
    <definedName name="TABLE_18" localSheetId="2">'Lucros normalizados'!$K$24:$L$24</definedName>
    <definedName name="TABLE_19" localSheetId="2">'Lucros normalizados'!$D$27:$I$27</definedName>
    <definedName name="TABLE_2" localSheetId="1">'Entradas'!$E$8:$E$8</definedName>
    <definedName name="TABLE_2" localSheetId="2">'Lucros normalizados'!$B$15:$J$24</definedName>
    <definedName name="TABLE_20" localSheetId="2">'Lucros normalizados'!$I$21:$J$21</definedName>
    <definedName name="TABLE_21" localSheetId="2">'Lucros normalizados'!$I$21:$J$21</definedName>
    <definedName name="TABLE_22" localSheetId="2">'Lucros normalizados'!$I$18:$J$18</definedName>
    <definedName name="TABLE_23" localSheetId="2">'Lucros normalizados'!$I$18:$J$18</definedName>
    <definedName name="TABLE_24" localSheetId="2">'Lucros normalizados'!$I$17:$J$17</definedName>
    <definedName name="TABLE_25" localSheetId="2">'Lucros normalizados'!$I$17:$J$17</definedName>
    <definedName name="TABLE_26" localSheetId="2">'Lucros normalizados'!$D$12:$H$12</definedName>
    <definedName name="TABLE_27" localSheetId="2">'Lucros normalizados'!$D$12:$H$12</definedName>
    <definedName name="TABLE_28" localSheetId="2">'Lucros normalizados'!$I$12:$J$12</definedName>
    <definedName name="TABLE_29" localSheetId="2">'Lucros normalizados'!$I$12:$J$12</definedName>
    <definedName name="TABLE_3" localSheetId="2">'Lucros normalizados'!$K$24:$L$24</definedName>
    <definedName name="TABLE_4" localSheetId="2">'Lucros normalizados'!$K$24:$L$24</definedName>
    <definedName name="TABLE_5" localSheetId="2">'Lucros normalizados'!$D$10:$I$10</definedName>
    <definedName name="TABLE_6" localSheetId="2">'Lucros normalizados'!$D$10:$I$10</definedName>
    <definedName name="TABLE_7" localSheetId="2">'Lucros normalizados'!$J$10:$K$10</definedName>
    <definedName name="TABLE_8" localSheetId="2">'Lucros normalizados'!$J$10:$K$10</definedName>
    <definedName name="TABLE_9" localSheetId="2">'Lucros normalizados'!$C$29:$J$37</definedName>
    <definedName name="TOPO" localSheetId="2">'Lucros normalizados'!$B$15:$B$15</definedName>
    <definedName name="TOPO_2" localSheetId="2">'Lucros normalizados'!$D$10:$D$10</definedName>
    <definedName name="TOPO_3" localSheetId="2">'Lucros normalizados'!$C$29:$C$29</definedName>
    <definedName name="TOPO_4" localSheetId="2">'Lucros normalizados'!$D$26:$D$26</definedName>
    <definedName name="TOPO_5" localSheetId="2">'Lucros normalizados'!$F$24:$F$24</definedName>
    <definedName name="TOPO_6" localSheetId="2">'Lucros normalizados'!$D$12:$D$12</definedName>
  </definedNames>
  <calcPr fullCalcOnLoad="1"/>
</workbook>
</file>

<file path=xl/comments2.xml><?xml version="1.0" encoding="utf-8"?>
<comments xmlns="http://schemas.openxmlformats.org/spreadsheetml/2006/main">
  <authors>
    <author>Aswath Damodaran</author>
  </authors>
  <commentList>
    <comment ref="B3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O Beta no Período Estavel deve ficar entre 0.8 and 1.2. Se este valor for diferente do Beta do Período de Alto Crescimento, o programa irá ajustar o valor do Custo do Capital, gradualmente, a partir da segunda metade do período de Alto Crescimento.</t>
        </r>
      </text>
    </comment>
    <comment ref="B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O lucro líquido da firma deve ser introduzido aqui.Se Houverem valores negativos será necessário normalizar os lucros.</t>
        </r>
      </text>
    </comment>
    <comment ref="B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 Patrimônio Líquido no ano corrente.</t>
        </r>
      </text>
    </comment>
    <comment ref="C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Estre com o valor do Patrimônio Líquido do ano anterior.</t>
        </r>
      </text>
    </comment>
    <comment ref="B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Caso a firma tenha tido lucros negativos, ou se a  passou por um período de lucros anormais, você poderá normaliza-los.  Se você escolher esta opção entre na pasta "lucros normalizados" e selecione uma opção .</t>
        </r>
      </text>
    </comment>
    <comment ref="B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Beta da ação.</t>
        </r>
      </text>
    </comment>
    <comment ref="B1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a Taxa de Juros de Longo prazo.
Caso você queira fazer o Cálculo igual a Warten Buffet, entre com o Beta =1 e o Prêmio de Risco =1</t>
        </r>
      </text>
    </comment>
    <comment ref="B11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prêmio de risco para ações.Este risco depende do País para qual está sendo feito o cálculo.</t>
        </r>
      </text>
    </comment>
    <comment ref="B4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Como padrão, o programa emprega o mesmo  do Período de Alto Crescimento. Você poderá altera-lo caso deseje.</t>
        </r>
      </text>
    </comment>
    <comment ref="B1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número de anos estimado para o crescimento rápido.  (no máximo 15 anos).</t>
        </r>
      </text>
    </comment>
    <comment ref="B1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Caso você responda "yes",
g = Taxa de Retenção * ROE.
Se você responder "No" você terá que introduzir a taxa de crescimento manualmente.
Taxa de Retenção= (1-Dividend Yeld)</t>
        </r>
      </text>
    </comment>
    <comment ref="B17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 com a taxa de crescimento dee Lucro a ser empregada para o período de alto crescimento. Poderá ser empregada estimativa de analistas,   projeção da taxa de crescimento de lucro por ação ou crescimento Histórico em Lucro por Ação.</t>
        </r>
      </text>
    </comment>
    <comment ref="B1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</t>
        </r>
        <r>
          <rPr>
            <b/>
            <sz val="9"/>
            <rFont val="Geneva"/>
            <family val="0"/>
          </rPr>
          <t>NÃO ENTRE COM NADA.</t>
        </r>
        <r>
          <rPr>
            <sz val="9"/>
            <rFont val="Geneva"/>
            <family val="0"/>
          </rPr>
          <t xml:space="preserve"> Este número é calculado baseado nas entradas efetuadas anteriormente.</t>
        </r>
      </text>
    </comment>
    <comment ref="B20" authorId="0">
      <text>
        <r>
          <rPr>
            <b/>
            <sz val="9"/>
            <rFont val="Geneva"/>
            <family val="0"/>
          </rPr>
          <t xml:space="preserve">Aswath Damodaran:
NÃO ENTRE COM NADA. </t>
        </r>
        <r>
          <rPr>
            <sz val="9"/>
            <rFont val="Geneva"/>
            <family val="0"/>
          </rPr>
          <t>Este número é calculado baseado nas entradas efetuadas anteriormente.</t>
        </r>
      </text>
    </comment>
    <comment ref="B21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Caso você acredite que os fundamentos de sua firma no futuro serão diferentes dos números históricos introduzidos acima, responda "Yes".</t>
        </r>
      </text>
    </comment>
    <comment ref="B23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Retorno sobre o Patrtimônio Líquido (ROE) para o período da alto crescimento. Este poderá ser a média Industrial do Setor ou o ROE  histórico de sua Firma.</t>
        </r>
      </text>
    </comment>
    <comment ref="B2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a Taxa de Retenção a ser empregada no Período de alto crescimento. Esta poderá ser a média histórica de  sua Firma ou a Média do Setor.
Tx de Ret=(1-Dividend Yeld)</t>
        </r>
      </text>
    </comment>
    <comment ref="B2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No período de Crescimento Estável, seus fundamentos poderão  modificar-se. Esta é a sua chance de introduzir novos valores. .</t>
        </r>
      </text>
    </comment>
    <comment ref="B27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ROE para o Período Estável. Verifique as Médias Industriais.</t>
        </r>
      </text>
    </comment>
    <comment ref="B2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Se você deseja que o programa ajuste os valores de Beta, Payout e Taxa de Crescimento, gradualmente,   a partir da segunda metade do período de crescimento Rápido até o Período de Crescimento Estável, responda "Yes".</t>
        </r>
      </text>
    </comment>
    <comment ref="B3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a taxa de crescimento sustentável para sempre. Esta Taxa de Crescimento não poderá ser maior que a taxa de Crescimento do economia (PIB por exemplo).</t>
        </r>
      </text>
    </comment>
    <comment ref="B3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NÃO ENTRE COM NADA. Este Número é computado, baseado no dados da Taxa de  Crescimento Estável e ROE </t>
        </r>
      </text>
    </comment>
    <comment ref="B3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Se você tiver a percepçção que o Payout no Período Estável não é apropriado, Você poderá alterá-lo aqui. O melhor a fazer, neste caso, é ajustar o ROE ao invés do Payout.</t>
        </r>
      </text>
    </comment>
    <comment ref="B36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Payout para o Período Estável caso você deseje empregar um valor diferente do calculado através dos Fundamentos.</t>
        </r>
      </text>
    </comment>
    <comment ref="B38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Normalmente, o Beta de um Período Estável deve ficar entre  0.8 and 1.20. Se o Beta de sua Firma é maior ou menor  você deverá responder "Yes".</t>
        </r>
      </text>
    </comment>
    <comment ref="B4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valor do Lucro por ação do período mais recente. (Poderá ser zero)</t>
        </r>
      </text>
    </comment>
    <comment ref="B5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Entre com o valor dos Dividendos por Ação do período mais recente</t>
        </r>
      </text>
    </comment>
  </commentList>
</comments>
</file>

<file path=xl/comments3.xml><?xml version="1.0" encoding="utf-8"?>
<comments xmlns="http://schemas.openxmlformats.org/spreadsheetml/2006/main">
  <authors>
    <author>Aswath Damodaran</author>
  </authors>
  <commentList>
    <comment ref="B2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1: Lucro Líquido dos ùltimos 5 anos
2: ROE Normalizado</t>
        </r>
      </text>
    </comment>
    <comment ref="B8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Você poderá empregar um ROE médio para a Firma, baseado no passado,  ou a média Industrial do Setor.</t>
        </r>
      </text>
    </comment>
  </commentList>
</comments>
</file>

<file path=xl/sharedStrings.xml><?xml version="1.0" encoding="utf-8"?>
<sst xmlns="http://schemas.openxmlformats.org/spreadsheetml/2006/main" count="306" uniqueCount="253">
  <si>
    <t>Industry Name</t>
  </si>
  <si>
    <t>Dividend Yield</t>
  </si>
  <si>
    <t>Dividend Payout</t>
  </si>
  <si>
    <t>ROE</t>
  </si>
  <si>
    <t>Advertising</t>
  </si>
  <si>
    <t>Aerospace/Defense</t>
  </si>
  <si>
    <t>Air Transport</t>
  </si>
  <si>
    <t>Apparel</t>
  </si>
  <si>
    <t>Auto &amp; Truck</t>
  </si>
  <si>
    <t>Auto Parts</t>
  </si>
  <si>
    <t>Bank</t>
  </si>
  <si>
    <t>Bank (Canadian)</t>
  </si>
  <si>
    <t>Bank (Foreign)</t>
  </si>
  <si>
    <t>Bank (Midwest)</t>
  </si>
  <si>
    <t>Beverage (Alcoholic)</t>
  </si>
  <si>
    <t>Beverage (Soft Drink)</t>
  </si>
  <si>
    <t>Biotechnology</t>
  </si>
  <si>
    <t>Building Materials</t>
  </si>
  <si>
    <t>Cable TV</t>
  </si>
  <si>
    <t>NA</t>
  </si>
  <si>
    <t>Canadian Energy</t>
  </si>
  <si>
    <t>Cement &amp; Aggregates</t>
  </si>
  <si>
    <t>Chemical (Basic)</t>
  </si>
  <si>
    <t>Chemical (Diversified)</t>
  </si>
  <si>
    <t>Chemical (Specialty)</t>
  </si>
  <si>
    <t>Coal</t>
  </si>
  <si>
    <t>Computer &amp; Peripherals</t>
  </si>
  <si>
    <t>Computer Software &amp; Svcs</t>
  </si>
  <si>
    <t>Diversified Co.</t>
  </si>
  <si>
    <t>Drug</t>
  </si>
  <si>
    <t>E-Commerce</t>
  </si>
  <si>
    <t>Educational Services</t>
  </si>
  <si>
    <t>Electric Util. (Central)</t>
  </si>
  <si>
    <t>Electric Utility (East)</t>
  </si>
  <si>
    <t>Levered Beta</t>
  </si>
  <si>
    <t>Unlevered Beta</t>
  </si>
  <si>
    <t>Insurance (Diversified)</t>
  </si>
  <si>
    <t>Precious Metals</t>
  </si>
  <si>
    <t>No</t>
  </si>
  <si>
    <t>(Yes or No)</t>
  </si>
  <si>
    <t>Yes</t>
  </si>
  <si>
    <t>Natural Gas (Diversified</t>
  </si>
  <si>
    <t>Newspaper</t>
  </si>
  <si>
    <t>Office Equip &amp; Supplies</t>
  </si>
  <si>
    <t>Oilfield Services/Equip.</t>
  </si>
  <si>
    <t>Packaging &amp; Container</t>
  </si>
  <si>
    <t>Paper &amp; Forest Products</t>
  </si>
  <si>
    <t>Petroleum (Integrated)</t>
  </si>
  <si>
    <t>Petroleum (Producing)</t>
  </si>
  <si>
    <t>Pharmacy Services</t>
  </si>
  <si>
    <t>Power</t>
  </si>
  <si>
    <t>Precision Instrument</t>
  </si>
  <si>
    <t>Publishing</t>
  </si>
  <si>
    <t>R.E.I.T.</t>
  </si>
  <si>
    <t>Railroad</t>
  </si>
  <si>
    <t>Recreation</t>
  </si>
  <si>
    <t>Restaurant</t>
  </si>
  <si>
    <t>Retail (Special Lines)</t>
  </si>
  <si>
    <t>Retail Building Supply</t>
  </si>
  <si>
    <t>Retail Store</t>
  </si>
  <si>
    <t>Securities Brokerage</t>
  </si>
  <si>
    <t>Semiconductor</t>
  </si>
  <si>
    <t>Semiconductor Cap Eq</t>
  </si>
  <si>
    <t>Shoe</t>
  </si>
  <si>
    <t>Steel (General)</t>
  </si>
  <si>
    <t>Steel (Integrated)</t>
  </si>
  <si>
    <t>Telecom. Equipment</t>
  </si>
  <si>
    <t>Telecom. Services</t>
  </si>
  <si>
    <t>Textile</t>
  </si>
  <si>
    <t>Thrift</t>
  </si>
  <si>
    <t>Tire &amp; Rubber</t>
  </si>
  <si>
    <t>Tobacco</t>
  </si>
  <si>
    <t>Toiletries/Cosmetics</t>
  </si>
  <si>
    <t>Trucking/Transp. Leasing</t>
  </si>
  <si>
    <t>Water Utility</t>
  </si>
  <si>
    <t>Wireless Networking</t>
  </si>
  <si>
    <t>Market</t>
  </si>
  <si>
    <t>Electric Utility (West)</t>
  </si>
  <si>
    <t>Electrical Equipment</t>
  </si>
  <si>
    <t>Electronics</t>
  </si>
  <si>
    <t>Entertainment</t>
  </si>
  <si>
    <t>Entertainment Tech</t>
  </si>
  <si>
    <t>Environmental</t>
  </si>
  <si>
    <t>Financial Svcs. (Div.)</t>
  </si>
  <si>
    <t>Food Processing</t>
  </si>
  <si>
    <t>Food Wholesalers</t>
  </si>
  <si>
    <t>Foreign Electron/Entertn</t>
  </si>
  <si>
    <t>Foreign Telecom.</t>
  </si>
  <si>
    <t>Furn./Home Furnishings</t>
  </si>
  <si>
    <t>Grocery</t>
  </si>
  <si>
    <t>Healthcare Info Systems</t>
  </si>
  <si>
    <t>Home Appliance</t>
  </si>
  <si>
    <t>Homebuilding</t>
  </si>
  <si>
    <t>Hotel/Gaming</t>
  </si>
  <si>
    <t>Household Products</t>
  </si>
  <si>
    <t>Human Resources</t>
  </si>
  <si>
    <t>Industrial Services</t>
  </si>
  <si>
    <t>Information Services</t>
  </si>
  <si>
    <t>Insurance (Life)</t>
  </si>
  <si>
    <t>Insurance (Prop/Casualty</t>
  </si>
  <si>
    <t>Internet</t>
  </si>
  <si>
    <t>Investment Co.</t>
  </si>
  <si>
    <t>Investment Co. (Foreign)</t>
  </si>
  <si>
    <t>Machinery</t>
  </si>
  <si>
    <t>Manuf. Housing/Rec Veh</t>
  </si>
  <si>
    <t>Maritime</t>
  </si>
  <si>
    <t>Medical Services</t>
  </si>
  <si>
    <t>Medical Supplies</t>
  </si>
  <si>
    <t>Metal Fabricating</t>
  </si>
  <si>
    <t>Metals &amp; Mining (Div.)</t>
  </si>
  <si>
    <t>Natural Gas (Distrib.)</t>
  </si>
  <si>
    <t>ROE =</t>
  </si>
  <si>
    <t>Premissas</t>
  </si>
  <si>
    <t>5. Payout esperado durante a fase estável.</t>
  </si>
  <si>
    <t>6. Lucro por ação atual</t>
  </si>
  <si>
    <t>2. Taxa de crescimento esperada durante a fase de crescimento rápido (primeira fase)</t>
  </si>
  <si>
    <t>4. Taxa de crescimento durante a fase estável (segunda fase)</t>
  </si>
  <si>
    <t>Ao final do período de alto crescimento, o preço esperado é estimado utilizando-se</t>
  </si>
  <si>
    <t>A taxa de crescimento é estimada empregando-se os fundamentos.</t>
  </si>
  <si>
    <t>os dividendos por ação do ano seguinte do último ano da fase de crescimento rápido, utilizando-se a taxa de crescimento</t>
  </si>
  <si>
    <t>no período estável, o payout no período estável e o custo do capital no período estável.</t>
  </si>
  <si>
    <t>Os dividendos por ação e o preço final são descontados para o o presente</t>
  </si>
  <si>
    <t>Se o custo de capital na segunda fase ( fase estável) for  diferente do custo de capital da primeira fase (crescimento rápido)</t>
  </si>
  <si>
    <t>do período de alto crescimento para o período estável gradualmente.</t>
  </si>
  <si>
    <t xml:space="preserve">Se você fizer isto, serão ajustadas automaticamente a taxa de crescimento, o payout e o custo de capital </t>
  </si>
  <si>
    <t>Você também poderá fazer este um período estável, introduzindo no período de alto crescimento Zero</t>
  </si>
  <si>
    <t>7. O custo de capital</t>
  </si>
  <si>
    <t>Os dividendos são estimados, para o período de alto crescimento, multiplicando-se o Payout</t>
  </si>
  <si>
    <t>pela  taxa de crescimento de lucros</t>
  </si>
  <si>
    <t>Entradas financeiras</t>
  </si>
  <si>
    <t>Lucro Líquido  =</t>
  </si>
  <si>
    <t>Patrimônio Líquido =</t>
  </si>
  <si>
    <t>Entradas  para a taxa de desconto</t>
  </si>
  <si>
    <t>Beta da ação=</t>
  </si>
  <si>
    <t>Prêmio de Risco=</t>
  </si>
  <si>
    <t>Duração do período de alto crescimento (em anos)</t>
  </si>
  <si>
    <t>(em reais)</t>
  </si>
  <si>
    <t>(percentual)</t>
  </si>
  <si>
    <t>Retenção =</t>
  </si>
  <si>
    <t>Se sim especifique os valores</t>
  </si>
  <si>
    <t>Você quer que eu ajuste gradualmente as entradas na segunda metade do período de alto crescimento ?</t>
  </si>
  <si>
    <t>Entradas para o período estável (segundo período)</t>
  </si>
  <si>
    <t>Último Ano</t>
  </si>
  <si>
    <t>Entre com a taxa de crescimento para  o período estável</t>
  </si>
  <si>
    <t>Payout estável dos fundamentos é =</t>
  </si>
  <si>
    <t>Você deseja trocar este Payout?</t>
  </si>
  <si>
    <t>Se Sim, entre o Payout do período estável=</t>
  </si>
  <si>
    <t>O Beta irá se alterar no período estável?</t>
  </si>
  <si>
    <t>Se sim, entre com o Beta do período estável =</t>
  </si>
  <si>
    <t>Entre com o prêmio de Risco a ser empregado no período estável =</t>
  </si>
  <si>
    <t>Cálculo dos Lucros Normalizados</t>
  </si>
  <si>
    <t>Se Yes, especifique os valores (É necessário entrar com todos os valores)</t>
  </si>
  <si>
    <t>Lucro por ação atual =</t>
  </si>
  <si>
    <t>Método 1: Média de lucros durante os últimos 5 anos</t>
  </si>
  <si>
    <t>Lucro Líquido</t>
  </si>
  <si>
    <t>Método 2: Retorno sobre o Patrimônio Liquido normalizado</t>
  </si>
  <si>
    <t xml:space="preserve"> ROE Normalizado =</t>
  </si>
  <si>
    <t>Escolha o método de normalização de lucros</t>
  </si>
  <si>
    <t>Lucro Líquido =</t>
  </si>
  <si>
    <t>Lucro por Ação =</t>
  </si>
  <si>
    <t>Taxa de Crescimento em EPS =</t>
  </si>
  <si>
    <t>Payout para a fase de alto Crescimento=</t>
  </si>
  <si>
    <t>Os dividendos para a fase de alto crescimento são mostrados abaixo (até 10 anos)</t>
  </si>
  <si>
    <t>Lucro por Ação</t>
  </si>
  <si>
    <t>Payout</t>
  </si>
  <si>
    <t>Dividendos por Ação</t>
  </si>
  <si>
    <t>Custo do Capital</t>
  </si>
  <si>
    <t>Custo do Capital acumulado</t>
  </si>
  <si>
    <t>Valor Presente</t>
  </si>
  <si>
    <t>Custo do Capital no Período Estável =</t>
  </si>
  <si>
    <t>Preço no final da fase de Crescimento =</t>
  </si>
  <si>
    <t>Valor Presente do preço final =</t>
  </si>
  <si>
    <t>Valor da Ação  =</t>
  </si>
  <si>
    <t>Estimando o Valor do Crescimento</t>
  </si>
  <si>
    <t>Valor da Ação =</t>
  </si>
  <si>
    <t>Atual</t>
  </si>
  <si>
    <t>Média</t>
  </si>
  <si>
    <t>Entradas para o Período de Alto Crescimento (primeiro Período)</t>
  </si>
  <si>
    <t>Taxa de crescimento do Período Estável =</t>
  </si>
  <si>
    <t>Payout no Período Estável  =</t>
  </si>
  <si>
    <t>Valor Presente dos Dividendos na fase de crescimento =</t>
  </si>
  <si>
    <t>Se Yes,  os seguintes valores serão empregados para o cálculo do crescimento:</t>
  </si>
  <si>
    <t>1. Duração do período de alto crescimento (em anos)</t>
  </si>
  <si>
    <t>3. Payout esperado durante a fase de crescimento rápido.</t>
  </si>
  <si>
    <t>Como alternativa, é possível entrar com a taxa de crescimento esperada.</t>
  </si>
  <si>
    <t>pela taxa de custo do capital.</t>
  </si>
  <si>
    <t xml:space="preserve">, ele será ajustado gradualmente </t>
  </si>
  <si>
    <t>Você poderá transformar este modelo em um modelo de três estágios respondendo Yes a pergunta</t>
  </si>
  <si>
    <t>Deseja calcular a taxa de crescimento dos fundamentos?</t>
  </si>
  <si>
    <t xml:space="preserve">Se No, entre com a taxa de crescimento </t>
  </si>
  <si>
    <t xml:space="preserve"> </t>
  </si>
  <si>
    <t>Taxa de Livre Risco=</t>
  </si>
  <si>
    <t>Deseja alterar valores para o período estável ?</t>
  </si>
  <si>
    <t>Deseja alterar valores para o período de alto crescimento?</t>
  </si>
  <si>
    <t>Ajuste gradual do período de alto crescimento ?</t>
  </si>
  <si>
    <t>Deseja normalizar o Lucro Líquido/ Lucro por Ação ?</t>
  </si>
  <si>
    <t>3. A Taxa de crescimento irá cair, no final do primeiro período, para a taxa de crescimento estável (segundo período)</t>
  </si>
  <si>
    <t>4. O Payout (dividendos/lucros) é compatível com a taxa de crescimento.</t>
  </si>
  <si>
    <t>taxa de crescimento=(1-Payout) * ROE</t>
  </si>
  <si>
    <t>Glossário</t>
  </si>
  <si>
    <r>
      <t>ROE</t>
    </r>
    <r>
      <rPr>
        <sz val="10"/>
        <rFont val="Geneva"/>
        <family val="0"/>
      </rPr>
      <t xml:space="preserve"> - Return on Equity - Retorno sobre o Patrimônio Líquido.</t>
    </r>
  </si>
  <si>
    <t>Entradas Necessárias</t>
  </si>
  <si>
    <t xml:space="preserve">Como Funciona </t>
  </si>
  <si>
    <t>Opções Disponíveis</t>
  </si>
  <si>
    <t>Lucro Líquido / Patrimônio Líquido do Ano Anterior</t>
  </si>
  <si>
    <t>Resultados do Programa</t>
  </si>
  <si>
    <t>Custo do Capital =</t>
  </si>
  <si>
    <t>Fonte de Dados</t>
  </si>
  <si>
    <t>http://snapshot.economatica.com.br/scripts/ecowebp.dll?S=tekno&amp;D=1&amp;CS=1&amp;x=13&amp;y=11</t>
  </si>
  <si>
    <t>http://www.infoinvest.com.br/ptb/</t>
  </si>
  <si>
    <t>1. Este programa admite que uma firma cresce diferentemente em dois períodos.</t>
  </si>
  <si>
    <r>
      <t>Dividend yeld</t>
    </r>
    <r>
      <rPr>
        <sz val="10"/>
        <rFont val="Geneva"/>
        <family val="0"/>
      </rPr>
      <t xml:space="preserve"> - Dividendo pago anualmente / Preço da Ação (em%)</t>
    </r>
  </si>
  <si>
    <r>
      <t>Payout</t>
    </r>
    <r>
      <rPr>
        <sz val="10"/>
        <rFont val="Geneva"/>
        <family val="0"/>
      </rPr>
      <t xml:space="preserve"> - Dividendos por ação/Lucro por ação</t>
    </r>
  </si>
  <si>
    <r>
      <t>Taxa de Retenção</t>
    </r>
    <r>
      <rPr>
        <sz val="10"/>
        <rFont val="Geneva"/>
        <family val="0"/>
      </rPr>
      <t xml:space="preserve"> =(1-Payout)</t>
    </r>
  </si>
  <si>
    <t>Valor do Período Estável =</t>
  </si>
  <si>
    <t>Valor do Período de Crescimento Rápido =</t>
  </si>
  <si>
    <t>Taxa de Cresc esperada</t>
  </si>
  <si>
    <t>Valor do Patrimônio Líquido=</t>
  </si>
  <si>
    <t xml:space="preserve">       </t>
  </si>
  <si>
    <t xml:space="preserve">Modelo de Desconto de Dividendos </t>
  </si>
  <si>
    <t>Valor de Mercado ($ milhÃµes)</t>
  </si>
  <si>
    <t>Conta:</t>
  </si>
  <si>
    <t>Setor</t>
  </si>
  <si>
    <t>4T96</t>
  </si>
  <si>
    <t>4T97</t>
  </si>
  <si>
    <t>4T98</t>
  </si>
  <si>
    <t>4T99</t>
  </si>
  <si>
    <t>4T00</t>
  </si>
  <si>
    <t>4T01</t>
  </si>
  <si>
    <t>Lucro/lote de ações</t>
  </si>
  <si>
    <t>P/L - Preço/Lucro, x</t>
  </si>
  <si>
    <t>P/VPA - Preço/Valor patrimonial, x</t>
  </si>
  <si>
    <t>GERDAU METAIS</t>
  </si>
  <si>
    <t>Número ações (milhares)</t>
  </si>
  <si>
    <t>Valor Patrimonial/lote de ações</t>
  </si>
  <si>
    <t>19.06</t>
  </si>
  <si>
    <t>27.54</t>
  </si>
  <si>
    <t>2.62</t>
  </si>
  <si>
    <t>2.61</t>
  </si>
  <si>
    <t>0.72</t>
  </si>
  <si>
    <t>0.80</t>
  </si>
  <si>
    <t>0.010483</t>
  </si>
  <si>
    <t>0.012183</t>
  </si>
  <si>
    <t>0.063904</t>
  </si>
  <si>
    <t>0.075801</t>
  </si>
  <si>
    <t>Lucro:</t>
  </si>
  <si>
    <t>4T02</t>
  </si>
  <si>
    <t>Desconto =</t>
  </si>
  <si>
    <t>Preço atual da ação =</t>
  </si>
  <si>
    <t>2. É esperado que a empresa cresça a uma taxa superior no período de crescimento rápido (primeiro período).</t>
  </si>
  <si>
    <t>4T03</t>
  </si>
  <si>
    <t>tx de expansão de lucros nominais de 39%</t>
  </si>
  <si>
    <t>Dividendos por ação atual =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</si>
</sst>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0000000%"/>
    <numFmt numFmtId="179" formatCode="0.0%"/>
    <numFmt numFmtId="180" formatCode="0.00000%"/>
    <numFmt numFmtId="181" formatCode="0.0000%"/>
    <numFmt numFmtId="182" formatCode="0.000%"/>
    <numFmt numFmtId="183" formatCode="&quot;$&quot;#,##0.0_);[Red]\(&quot;$&quot;#,##0.0\)"/>
    <numFmt numFmtId="184" formatCode="_(&quot;$&quot;* #,##0_);_(&quot;$&quot;* \(#,##0\);_(&quot;$&quot;* &quot;-&quot;??_);_(@_)"/>
    <numFmt numFmtId="185" formatCode="0.00000"/>
    <numFmt numFmtId="186" formatCode="&quot;R$ &quot;#,##0.00000"/>
    <numFmt numFmtId="187" formatCode="[$$-409]#,##0.00000"/>
    <numFmt numFmtId="188" formatCode="0.00000;[Red]0.00000"/>
    <numFmt numFmtId="189" formatCode="#,##0.000000;[Red]#,##0.000000"/>
    <numFmt numFmtId="190" formatCode="#,##0.00000"/>
    <numFmt numFmtId="191" formatCode="&quot;R$ &quot;#,##0.00000;[Red]&quot;R$ &quot;#,##0.00000"/>
    <numFmt numFmtId="192" formatCode="0.000000"/>
    <numFmt numFmtId="193" formatCode="0.0000"/>
    <numFmt numFmtId="194" formatCode="_(* #,##0.0000000_);_(* \(#,##0.0000000\);_(* &quot;-&quot;???????_);_(@_)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</numFmts>
  <fonts count="6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b/>
      <sz val="14"/>
      <name val="Times"/>
      <family val="0"/>
    </font>
    <font>
      <sz val="14"/>
      <name val="Geneva"/>
      <family val="0"/>
    </font>
    <font>
      <sz val="10"/>
      <name val="Times"/>
      <family val="0"/>
    </font>
    <font>
      <i/>
      <sz val="10"/>
      <name val="Times"/>
      <family val="0"/>
    </font>
    <font>
      <b/>
      <sz val="10"/>
      <name val="Times"/>
      <family val="0"/>
    </font>
    <font>
      <b/>
      <i/>
      <sz val="10"/>
      <name val="Times"/>
      <family val="0"/>
    </font>
    <font>
      <sz val="9"/>
      <name val="Geneva"/>
      <family val="0"/>
    </font>
    <font>
      <b/>
      <sz val="9"/>
      <name val="Geneva"/>
      <family val="0"/>
    </font>
    <font>
      <sz val="18"/>
      <color indexed="10"/>
      <name val="Times"/>
      <family val="0"/>
    </font>
    <font>
      <b/>
      <sz val="10"/>
      <color indexed="10"/>
      <name val="Times"/>
      <family val="0"/>
    </font>
    <font>
      <sz val="10"/>
      <color indexed="10"/>
      <name val="Geneva"/>
      <family val="0"/>
    </font>
    <font>
      <sz val="10"/>
      <color indexed="10"/>
      <name val="Times"/>
      <family val="0"/>
    </font>
    <font>
      <sz val="9"/>
      <name val="Times"/>
      <family val="0"/>
    </font>
    <font>
      <sz val="8"/>
      <name val="Times"/>
      <family val="0"/>
    </font>
    <font>
      <b/>
      <sz val="8"/>
      <name val="Times"/>
      <family val="0"/>
    </font>
    <font>
      <b/>
      <i/>
      <sz val="12"/>
      <name val="Times"/>
      <family val="0"/>
    </font>
    <font>
      <b/>
      <sz val="9"/>
      <color indexed="10"/>
      <name val="Times"/>
      <family val="0"/>
    </font>
    <font>
      <sz val="10"/>
      <name val="Times New Roman"/>
      <family val="1"/>
    </font>
    <font>
      <sz val="9"/>
      <color indexed="10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6"/>
      <name val="Times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Gene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30" borderId="0" applyNumberFormat="0" applyBorder="0" applyAlignment="0" applyProtection="0"/>
    <xf numFmtId="175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175" fontId="9" fillId="33" borderId="10" xfId="47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5" fontId="9" fillId="33" borderId="10" xfId="0" applyNumberFormat="1" applyFont="1" applyFill="1" applyBorder="1" applyAlignment="1">
      <alignment horizontal="center"/>
    </xf>
    <xf numFmtId="175" fontId="9" fillId="33" borderId="10" xfId="47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0" fontId="9" fillId="34" borderId="10" xfId="50" applyNumberFormat="1" applyFont="1" applyFill="1" applyBorder="1" applyAlignment="1">
      <alignment horizontal="center"/>
    </xf>
    <xf numFmtId="10" fontId="9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175" fontId="11" fillId="34" borderId="10" xfId="47" applyFont="1" applyFill="1" applyBorder="1" applyAlignment="1">
      <alignment horizontal="center"/>
    </xf>
    <xf numFmtId="175" fontId="9" fillId="34" borderId="10" xfId="47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10" fontId="10" fillId="34" borderId="1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9" fillId="33" borderId="10" xfId="0" applyNumberFormat="1" applyFont="1" applyFill="1" applyBorder="1" applyAlignment="1">
      <alignment/>
    </xf>
    <xf numFmtId="10" fontId="9" fillId="0" borderId="10" xfId="50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7" fontId="9" fillId="33" borderId="10" xfId="47" applyNumberFormat="1" applyFont="1" applyFill="1" applyBorder="1" applyAlignment="1">
      <alignment horizontal="center"/>
    </xf>
    <xf numFmtId="185" fontId="9" fillId="34" borderId="10" xfId="47" applyNumberFormat="1" applyFont="1" applyFill="1" applyBorder="1" applyAlignment="1">
      <alignment horizontal="center"/>
    </xf>
    <xf numFmtId="179" fontId="9" fillId="34" borderId="10" xfId="47" applyNumberFormat="1" applyFont="1" applyFill="1" applyBorder="1" applyAlignment="1">
      <alignment horizontal="center"/>
    </xf>
    <xf numFmtId="188" fontId="9" fillId="34" borderId="10" xfId="47" applyNumberFormat="1" applyFont="1" applyFill="1" applyBorder="1" applyAlignment="1">
      <alignment horizontal="center"/>
    </xf>
    <xf numFmtId="190" fontId="9" fillId="34" borderId="10" xfId="47" applyNumberFormat="1" applyFont="1" applyFill="1" applyBorder="1" applyAlignment="1">
      <alignment horizontal="center"/>
    </xf>
    <xf numFmtId="191" fontId="9" fillId="34" borderId="10" xfId="47" applyNumberFormat="1" applyFont="1" applyFill="1" applyBorder="1" applyAlignment="1">
      <alignment horizontal="center"/>
    </xf>
    <xf numFmtId="182" fontId="9" fillId="0" borderId="10" xfId="50" applyNumberFormat="1" applyFont="1" applyBorder="1" applyAlignment="1">
      <alignment horizontal="center"/>
    </xf>
    <xf numFmtId="192" fontId="9" fillId="34" borderId="10" xfId="47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44" applyAlignment="1" applyProtection="1">
      <alignment/>
      <protection/>
    </xf>
    <xf numFmtId="0" fontId="2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44" applyFont="1" applyAlignment="1" applyProtection="1">
      <alignment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9" fillId="35" borderId="0" xfId="0" applyFont="1" applyFill="1" applyAlignment="1">
      <alignment horizontal="center" vertical="top" wrapText="1"/>
    </xf>
    <xf numFmtId="0" fontId="29" fillId="35" borderId="0" xfId="0" applyFont="1" applyFill="1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 horizontal="center" wrapText="1"/>
    </xf>
    <xf numFmtId="3" fontId="29" fillId="35" borderId="0" xfId="0" applyNumberFormat="1" applyFont="1" applyFill="1" applyAlignment="1">
      <alignment horizontal="center" vertical="top" wrapText="1"/>
    </xf>
    <xf numFmtId="3" fontId="29" fillId="35" borderId="0" xfId="0" applyNumberFormat="1" applyFont="1" applyFill="1" applyAlignment="1">
      <alignment horizontal="center"/>
    </xf>
    <xf numFmtId="0" fontId="1" fillId="0" borderId="0" xfId="44" applyFont="1" applyAlignment="1" applyProtection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6" fillId="0" borderId="0" xfId="44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192" fontId="18" fillId="34" borderId="10" xfId="47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93" fontId="9" fillId="34" borderId="10" xfId="47" applyNumberFormat="1" applyFont="1" applyFill="1" applyBorder="1" applyAlignment="1">
      <alignment horizontal="center"/>
    </xf>
    <xf numFmtId="194" fontId="9" fillId="34" borderId="10" xfId="4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Neutra" xfId="48"/>
    <cellStyle name="Nota" xfId="49"/>
    <cellStyle name="Percent" xfId="50"/>
    <cellStyle name="Saída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eocities.yahoo.com.br/sergiorn/magnes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Inputs"/>
      <sheetName val="Normalized Earnings"/>
      <sheetName val="valuation"/>
      <sheetName val="Industry averages"/>
    </sheetNames>
    <sheetDataSet>
      <sheetData sheetId="1">
        <row r="5">
          <cell r="B5">
            <v>0.000678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apshot.economatica.com/" TargetMode="External" /><Relationship Id="rId2" Type="http://schemas.openxmlformats.org/officeDocument/2006/relationships/hyperlink" Target="http://www.infoinvest.com.br/ptb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apshot.economatica.com/" TargetMode="External" /><Relationship Id="rId2" Type="http://schemas.openxmlformats.org/officeDocument/2006/relationships/hyperlink" Target="http://www.infoinvest.com.br/ptb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30" TargetMode="External" /><Relationship Id="rId2" Type="http://schemas.openxmlformats.org/officeDocument/2006/relationships/hyperlink" Target="25" TargetMode="External" /><Relationship Id="rId3" Type="http://schemas.openxmlformats.org/officeDocument/2006/relationships/hyperlink" Target="18" TargetMode="External" /><Relationship Id="rId4" Type="http://schemas.openxmlformats.org/officeDocument/2006/relationships/hyperlink" Target="10" TargetMode="External" /><Relationship Id="rId5" Type="http://schemas.openxmlformats.org/officeDocument/2006/relationships/hyperlink" Target="11" TargetMode="External" /><Relationship Id="rId6" Type="http://schemas.openxmlformats.org/officeDocument/2006/relationships/hyperlink" Target="4" TargetMode="External" /><Relationship Id="rId7" Type="http://schemas.openxmlformats.org/officeDocument/2006/relationships/comments" Target="../comments3.xml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46"/>
  <sheetViews>
    <sheetView tabSelected="1" zoomScalePageLayoutView="0" workbookViewId="0" topLeftCell="A10">
      <selection activeCell="A45" sqref="A45:E46"/>
    </sheetView>
  </sheetViews>
  <sheetFormatPr defaultColWidth="11.375" defaultRowHeight="12.75"/>
  <cols>
    <col min="1" max="1" width="16.25390625" style="42" bestFit="1" customWidth="1"/>
    <col min="2" max="2" width="48.00390625" style="0" bestFit="1" customWidth="1"/>
  </cols>
  <sheetData>
    <row r="1" spans="1:8" ht="18" customHeight="1">
      <c r="A1" s="40" t="s">
        <v>219</v>
      </c>
      <c r="B1" s="2"/>
      <c r="C1" s="2"/>
      <c r="D1" s="2"/>
      <c r="E1" s="2"/>
      <c r="F1" s="2"/>
      <c r="G1" s="2"/>
      <c r="H1" s="2"/>
    </row>
    <row r="2" spans="1:8" ht="18" customHeight="1">
      <c r="A2" s="40" t="s">
        <v>232</v>
      </c>
      <c r="B2" s="2"/>
      <c r="C2" s="2"/>
      <c r="D2" s="2"/>
      <c r="E2" s="2"/>
      <c r="F2" s="2"/>
      <c r="G2" s="2"/>
      <c r="H2" s="2"/>
    </row>
    <row r="3" spans="1:8" ht="15" customHeight="1">
      <c r="A3" s="41" t="s">
        <v>112</v>
      </c>
      <c r="B3" s="61" t="s">
        <v>210</v>
      </c>
      <c r="C3" s="2"/>
      <c r="D3" s="2"/>
      <c r="E3" s="2"/>
      <c r="F3" s="2"/>
      <c r="G3" s="2"/>
      <c r="H3" s="2"/>
    </row>
    <row r="4" s="37" customFormat="1" ht="13.5" customHeight="1">
      <c r="B4" s="11" t="s">
        <v>249</v>
      </c>
    </row>
    <row r="5" spans="1:2" s="12" customFormat="1" ht="13.5" customHeight="1">
      <c r="A5" s="42"/>
      <c r="B5" s="11" t="s">
        <v>196</v>
      </c>
    </row>
    <row r="6" spans="1:2" s="12" customFormat="1" ht="13.5" customHeight="1">
      <c r="A6" s="42"/>
      <c r="B6" s="11" t="s">
        <v>197</v>
      </c>
    </row>
    <row r="7" spans="1:2" s="12" customFormat="1" ht="13.5" customHeight="1">
      <c r="A7" s="52" t="s">
        <v>201</v>
      </c>
      <c r="B7" s="11" t="s">
        <v>182</v>
      </c>
    </row>
    <row r="8" spans="1:2" s="12" customFormat="1" ht="13.5" customHeight="1">
      <c r="A8" s="42"/>
      <c r="B8" s="11" t="s">
        <v>115</v>
      </c>
    </row>
    <row r="9" spans="1:2" s="37" customFormat="1" ht="13.5" customHeight="1">
      <c r="A9" s="41"/>
      <c r="B9" s="11" t="s">
        <v>183</v>
      </c>
    </row>
    <row r="10" spans="1:2" s="12" customFormat="1" ht="13.5" customHeight="1">
      <c r="A10" s="42"/>
      <c r="B10" s="11" t="s">
        <v>116</v>
      </c>
    </row>
    <row r="11" spans="1:2" s="12" customFormat="1" ht="13.5" customHeight="1">
      <c r="A11" s="42"/>
      <c r="B11" s="11" t="s">
        <v>113</v>
      </c>
    </row>
    <row r="12" spans="1:2" s="12" customFormat="1" ht="13.5" customHeight="1">
      <c r="A12" s="42"/>
      <c r="B12" s="11" t="s">
        <v>114</v>
      </c>
    </row>
    <row r="13" spans="1:2" s="12" customFormat="1" ht="13.5" customHeight="1">
      <c r="A13" s="42"/>
      <c r="B13" s="11" t="s">
        <v>126</v>
      </c>
    </row>
    <row r="14" spans="1:2" s="11" customFormat="1" ht="13.5" customHeight="1">
      <c r="A14" s="41" t="s">
        <v>202</v>
      </c>
      <c r="B14" s="11" t="s">
        <v>127</v>
      </c>
    </row>
    <row r="15" spans="1:2" s="11" customFormat="1" ht="13.5" customHeight="1">
      <c r="A15" s="43"/>
      <c r="B15" s="11" t="s">
        <v>128</v>
      </c>
    </row>
    <row r="16" spans="1:2" s="11" customFormat="1" ht="13.5" customHeight="1">
      <c r="A16" s="43"/>
      <c r="B16" s="11" t="s">
        <v>118</v>
      </c>
    </row>
    <row r="17" spans="1:2" s="11" customFormat="1" ht="13.5" customHeight="1">
      <c r="A17" s="43"/>
      <c r="B17" s="11" t="s">
        <v>198</v>
      </c>
    </row>
    <row r="18" spans="1:2" s="11" customFormat="1" ht="13.5" customHeight="1">
      <c r="A18" s="43"/>
      <c r="B18" s="11" t="s">
        <v>184</v>
      </c>
    </row>
    <row r="19" spans="1:2" s="11" customFormat="1" ht="12.75">
      <c r="A19" s="43"/>
      <c r="B19" s="11" t="s">
        <v>117</v>
      </c>
    </row>
    <row r="20" spans="1:2" s="11" customFormat="1" ht="13.5" customHeight="1">
      <c r="A20" s="43"/>
      <c r="B20" s="11" t="s">
        <v>119</v>
      </c>
    </row>
    <row r="21" spans="1:2" s="11" customFormat="1" ht="13.5" customHeight="1">
      <c r="A21" s="43"/>
      <c r="B21" s="11" t="s">
        <v>120</v>
      </c>
    </row>
    <row r="22" s="11" customFormat="1" ht="13.5" customHeight="1">
      <c r="A22" s="43"/>
    </row>
    <row r="23" spans="1:2" s="11" customFormat="1" ht="13.5" customHeight="1">
      <c r="A23" s="43"/>
      <c r="B23" s="11" t="s">
        <v>121</v>
      </c>
    </row>
    <row r="24" spans="1:2" s="11" customFormat="1" ht="13.5" customHeight="1">
      <c r="A24" s="43"/>
      <c r="B24" s="11" t="s">
        <v>185</v>
      </c>
    </row>
    <row r="25" spans="1:2" s="11" customFormat="1" ht="13.5" customHeight="1">
      <c r="A25" s="43"/>
      <c r="B25" s="11" t="s">
        <v>122</v>
      </c>
    </row>
    <row r="26" spans="1:2" s="11" customFormat="1" ht="13.5" customHeight="1">
      <c r="A26" s="43"/>
      <c r="B26" s="11" t="s">
        <v>186</v>
      </c>
    </row>
    <row r="27" s="11" customFormat="1" ht="13.5" customHeight="1">
      <c r="A27" s="43"/>
    </row>
    <row r="28" s="11" customFormat="1" ht="13.5" customHeight="1">
      <c r="A28" s="43"/>
    </row>
    <row r="29" spans="1:2" s="11" customFormat="1" ht="13.5" customHeight="1">
      <c r="A29" s="41" t="s">
        <v>203</v>
      </c>
      <c r="B29" s="11" t="s">
        <v>187</v>
      </c>
    </row>
    <row r="30" spans="1:2" s="11" customFormat="1" ht="13.5" customHeight="1">
      <c r="A30" s="43"/>
      <c r="B30" s="11" t="s">
        <v>140</v>
      </c>
    </row>
    <row r="31" spans="1:2" s="11" customFormat="1" ht="13.5" customHeight="1">
      <c r="A31" s="43"/>
      <c r="B31" s="11" t="s">
        <v>124</v>
      </c>
    </row>
    <row r="32" spans="1:2" ht="12.75">
      <c r="A32" s="43"/>
      <c r="B32" s="11" t="s">
        <v>123</v>
      </c>
    </row>
    <row r="33" spans="1:2" ht="12.75">
      <c r="A33" s="43"/>
      <c r="B33" s="11" t="s">
        <v>125</v>
      </c>
    </row>
    <row r="34" spans="1:2" ht="12.75">
      <c r="A34" s="43"/>
      <c r="B34" s="11"/>
    </row>
    <row r="36" spans="1:2" ht="12.75">
      <c r="A36" s="41" t="s">
        <v>199</v>
      </c>
      <c r="B36" s="1" t="s">
        <v>200</v>
      </c>
    </row>
    <row r="37" ht="12.75">
      <c r="B37" t="s">
        <v>204</v>
      </c>
    </row>
    <row r="39" ht="12.75">
      <c r="B39" s="1" t="s">
        <v>211</v>
      </c>
    </row>
    <row r="41" ht="12.75">
      <c r="B41" s="1" t="s">
        <v>212</v>
      </c>
    </row>
    <row r="43" ht="12.75">
      <c r="B43" s="1" t="s">
        <v>213</v>
      </c>
    </row>
    <row r="45" spans="1:2" ht="12.75">
      <c r="A45" s="41" t="s">
        <v>207</v>
      </c>
      <c r="B45" s="63" t="s">
        <v>208</v>
      </c>
    </row>
    <row r="46" ht="12.75">
      <c r="B46" s="63" t="s">
        <v>209</v>
      </c>
    </row>
  </sheetData>
  <sheetProtection/>
  <hyperlinks>
    <hyperlink ref="B45" r:id="rId1" display="http://snapshot.economatica.com/"/>
    <hyperlink ref="B46" r:id="rId2" display="http://www.infoinvest.com.br/ptb/"/>
  </hyperlinks>
  <printOptions/>
  <pageMargins left="0.787401575" right="0.787401575" top="0.984251969" bottom="0.984251969" header="0.5" footer="0.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40"/>
  <sheetViews>
    <sheetView zoomScalePageLayoutView="0" workbookViewId="0" topLeftCell="A1">
      <selection activeCell="F19" sqref="F19"/>
    </sheetView>
  </sheetViews>
  <sheetFormatPr defaultColWidth="11.375" defaultRowHeight="12.75"/>
  <cols>
    <col min="1" max="1" width="43.875" style="0" bestFit="1" customWidth="1"/>
    <col min="2" max="3" width="11.375" style="0" customWidth="1"/>
    <col min="4" max="4" width="12.25390625" style="0" customWidth="1"/>
  </cols>
  <sheetData>
    <row r="1" s="4" customFormat="1" ht="15.75">
      <c r="A1" s="51" t="s">
        <v>129</v>
      </c>
    </row>
    <row r="2" spans="1:5" ht="12.75">
      <c r="A2" s="11" t="s">
        <v>130</v>
      </c>
      <c r="B2" s="19">
        <v>434</v>
      </c>
      <c r="C2" s="11" t="s">
        <v>142</v>
      </c>
      <c r="D2" s="13" t="s">
        <v>136</v>
      </c>
      <c r="E2" s="11"/>
    </row>
    <row r="3" spans="1:5" ht="12.75">
      <c r="A3" s="11" t="s">
        <v>131</v>
      </c>
      <c r="B3" s="19">
        <v>1329</v>
      </c>
      <c r="C3" s="20">
        <v>1426</v>
      </c>
      <c r="D3" s="13" t="s">
        <v>136</v>
      </c>
      <c r="E3" s="11"/>
    </row>
    <row r="4" spans="1:3" s="11" customFormat="1" ht="13.5" customHeight="1">
      <c r="A4" s="11" t="s">
        <v>152</v>
      </c>
      <c r="B4" s="53">
        <v>0.020875</v>
      </c>
      <c r="C4" s="13" t="s">
        <v>136</v>
      </c>
    </row>
    <row r="5" spans="1:3" s="11" customFormat="1" ht="13.5" customHeight="1">
      <c r="A5" s="11" t="s">
        <v>252</v>
      </c>
      <c r="B5" s="53">
        <v>0.0090378</v>
      </c>
      <c r="C5" s="13" t="s">
        <v>136</v>
      </c>
    </row>
    <row r="6" spans="1:3" s="11" customFormat="1" ht="13.5" customHeight="1">
      <c r="A6" s="11" t="s">
        <v>195</v>
      </c>
      <c r="B6" s="14" t="s">
        <v>38</v>
      </c>
      <c r="C6" s="13"/>
    </row>
    <row r="7" spans="1:5" ht="12.75">
      <c r="A7" s="11"/>
      <c r="B7" s="11"/>
      <c r="C7" s="13"/>
      <c r="D7" s="41" t="s">
        <v>207</v>
      </c>
      <c r="E7" s="63" t="s">
        <v>208</v>
      </c>
    </row>
    <row r="8" spans="1:5" ht="12.75">
      <c r="A8" s="16" t="s">
        <v>132</v>
      </c>
      <c r="B8" s="11"/>
      <c r="C8" s="11"/>
      <c r="D8" s="42"/>
      <c r="E8" s="63" t="s">
        <v>209</v>
      </c>
    </row>
    <row r="9" spans="1:5" ht="12.75">
      <c r="A9" s="11" t="s">
        <v>133</v>
      </c>
      <c r="B9" s="17">
        <v>1</v>
      </c>
      <c r="C9" s="11"/>
      <c r="D9" s="13"/>
      <c r="E9" s="11"/>
    </row>
    <row r="10" spans="1:5" ht="12.75">
      <c r="A10" s="11" t="s">
        <v>191</v>
      </c>
      <c r="B10" s="15">
        <v>0.09</v>
      </c>
      <c r="C10" s="13" t="s">
        <v>137</v>
      </c>
      <c r="D10" s="13"/>
      <c r="E10" s="11"/>
    </row>
    <row r="11" spans="1:5" ht="12.75">
      <c r="A11" s="11" t="s">
        <v>134</v>
      </c>
      <c r="B11" s="15">
        <v>0.01</v>
      </c>
      <c r="C11" s="13" t="s">
        <v>137</v>
      </c>
      <c r="D11" s="13"/>
      <c r="E11" s="11"/>
    </row>
    <row r="12" spans="1:5" ht="12.75">
      <c r="A12" s="11"/>
      <c r="B12" s="11"/>
      <c r="C12" s="11"/>
      <c r="D12" s="13"/>
      <c r="E12" s="11"/>
    </row>
    <row r="13" spans="1:5" ht="12.75">
      <c r="A13" s="24" t="s">
        <v>177</v>
      </c>
      <c r="B13" s="11"/>
      <c r="C13" s="11"/>
      <c r="D13" s="13"/>
      <c r="E13" s="11"/>
    </row>
    <row r="14" spans="1:5" ht="12.75">
      <c r="A14" s="11" t="s">
        <v>135</v>
      </c>
      <c r="B14" s="18">
        <v>10</v>
      </c>
      <c r="C14" s="11"/>
      <c r="D14" s="13"/>
      <c r="E14" s="11"/>
    </row>
    <row r="15" spans="1:6" ht="12.75">
      <c r="A15" s="11"/>
      <c r="B15" s="11"/>
      <c r="C15" s="11"/>
      <c r="D15" s="11"/>
      <c r="E15" s="13"/>
      <c r="F15" s="11"/>
    </row>
    <row r="16" spans="1:3" ht="12.75">
      <c r="A16" s="11" t="s">
        <v>188</v>
      </c>
      <c r="B16" s="18" t="s">
        <v>40</v>
      </c>
      <c r="C16" s="13" t="s">
        <v>39</v>
      </c>
    </row>
    <row r="17" spans="1:3" ht="12.75">
      <c r="A17" s="11" t="s">
        <v>189</v>
      </c>
      <c r="B17" s="18"/>
      <c r="C17" s="13"/>
    </row>
    <row r="18" spans="1:6" ht="12.75">
      <c r="A18" s="16" t="s">
        <v>181</v>
      </c>
      <c r="B18" s="11"/>
      <c r="C18" s="11"/>
      <c r="D18" s="11"/>
      <c r="E18" s="13"/>
      <c r="F18" s="11"/>
    </row>
    <row r="19" spans="1:6" ht="12.75">
      <c r="A19" s="11" t="s">
        <v>111</v>
      </c>
      <c r="B19" s="26">
        <f>IF(B6="No",B2/C3,IF('Lucros normalizados'!B2=1,'Lucros normalizados'!G5/C3,'Lucros normalizados'!B8))</f>
        <v>0.30434782608695654</v>
      </c>
      <c r="C19" s="13" t="s">
        <v>137</v>
      </c>
      <c r="D19" s="12"/>
      <c r="E19" s="12"/>
      <c r="F19" s="11"/>
    </row>
    <row r="20" spans="1:6" ht="12.75">
      <c r="A20" s="11" t="s">
        <v>138</v>
      </c>
      <c r="B20" s="26">
        <f>1-B5/B4</f>
        <v>0.5670514970059881</v>
      </c>
      <c r="C20" s="13" t="s">
        <v>137</v>
      </c>
      <c r="D20" s="12" t="s">
        <v>218</v>
      </c>
      <c r="E20" s="12"/>
      <c r="F20" s="11"/>
    </row>
    <row r="21" spans="1:3" ht="12.75">
      <c r="A21" s="11" t="s">
        <v>193</v>
      </c>
      <c r="B21" s="18" t="s">
        <v>40</v>
      </c>
      <c r="C21" s="13" t="s">
        <v>39</v>
      </c>
    </row>
    <row r="22" spans="1:6" ht="12.75">
      <c r="A22" s="16" t="s">
        <v>151</v>
      </c>
      <c r="B22" s="11"/>
      <c r="C22" s="11"/>
      <c r="D22" s="11"/>
      <c r="E22" s="13"/>
      <c r="F22" s="11"/>
    </row>
    <row r="23" spans="1:6" ht="12.75">
      <c r="A23" s="11" t="s">
        <v>111</v>
      </c>
      <c r="B23" s="15">
        <v>0.14</v>
      </c>
      <c r="C23" s="13" t="s">
        <v>137</v>
      </c>
      <c r="D23" s="11"/>
      <c r="E23" s="12"/>
      <c r="F23" s="12"/>
    </row>
    <row r="24" spans="1:6" ht="12.75">
      <c r="A24" s="11" t="s">
        <v>138</v>
      </c>
      <c r="B24" s="15">
        <v>0.75</v>
      </c>
      <c r="C24" s="13" t="s">
        <v>137</v>
      </c>
      <c r="D24" s="11"/>
      <c r="E24" s="12"/>
      <c r="F24" s="12"/>
    </row>
    <row r="25" spans="1:3" ht="12.75">
      <c r="A25" s="11" t="s">
        <v>192</v>
      </c>
      <c r="B25" s="18" t="s">
        <v>38</v>
      </c>
      <c r="C25" s="13" t="s">
        <v>39</v>
      </c>
    </row>
    <row r="26" spans="1:6" ht="12.75">
      <c r="A26" s="16" t="s">
        <v>139</v>
      </c>
      <c r="B26" s="13"/>
      <c r="C26" s="11"/>
      <c r="D26" s="13"/>
      <c r="E26" s="13"/>
      <c r="F26" s="11"/>
    </row>
    <row r="27" spans="1:6" ht="12.75">
      <c r="A27" s="11" t="s">
        <v>111</v>
      </c>
      <c r="B27" s="15">
        <v>0.05</v>
      </c>
      <c r="C27" s="13" t="s">
        <v>137</v>
      </c>
      <c r="D27" s="11"/>
      <c r="E27" s="12"/>
      <c r="F27" s="12"/>
    </row>
    <row r="28" spans="1:6" ht="12.75">
      <c r="A28" s="11"/>
      <c r="B28" s="36"/>
      <c r="C28" s="13"/>
      <c r="D28" s="11"/>
      <c r="E28" s="12"/>
      <c r="F28" s="12"/>
    </row>
    <row r="29" spans="1:6" ht="12.75">
      <c r="A29" s="11" t="s">
        <v>194</v>
      </c>
      <c r="B29" s="15" t="s">
        <v>38</v>
      </c>
      <c r="C29" s="13" t="s">
        <v>39</v>
      </c>
      <c r="D29" s="11"/>
      <c r="E29" s="12"/>
      <c r="F29" s="12"/>
    </row>
    <row r="30" spans="1:6" ht="12.75">
      <c r="A30" s="11"/>
      <c r="B30" s="36"/>
      <c r="C30" s="13"/>
      <c r="D30" s="11"/>
      <c r="E30" s="12"/>
      <c r="F30" s="12"/>
    </row>
    <row r="31" spans="1:5" ht="12.75">
      <c r="A31" s="24" t="s">
        <v>141</v>
      </c>
      <c r="B31" s="11"/>
      <c r="C31" s="11"/>
      <c r="D31" s="13"/>
      <c r="E31" s="11"/>
    </row>
    <row r="32" spans="1:4" ht="12.75">
      <c r="A32" s="11" t="s">
        <v>143</v>
      </c>
      <c r="B32" s="15">
        <v>0.05</v>
      </c>
      <c r="C32" s="13" t="s">
        <v>137</v>
      </c>
      <c r="D32" s="11"/>
    </row>
    <row r="33" spans="1:4" ht="12.75">
      <c r="A33" s="11"/>
      <c r="B33" s="21"/>
      <c r="C33" s="13"/>
      <c r="D33" s="11" t="s">
        <v>190</v>
      </c>
    </row>
    <row r="34" spans="1:4" ht="12.75">
      <c r="A34" s="11" t="s">
        <v>144</v>
      </c>
      <c r="B34" s="25">
        <f>1-B32/B27</f>
        <v>0</v>
      </c>
      <c r="C34" s="13" t="s">
        <v>137</v>
      </c>
      <c r="D34" s="11"/>
    </row>
    <row r="35" spans="1:4" ht="12.75">
      <c r="A35" s="11" t="s">
        <v>145</v>
      </c>
      <c r="B35" s="18" t="s">
        <v>40</v>
      </c>
      <c r="C35" s="13" t="s">
        <v>39</v>
      </c>
      <c r="D35" s="11"/>
    </row>
    <row r="36" spans="1:4" ht="12.75">
      <c r="A36" s="11" t="s">
        <v>146</v>
      </c>
      <c r="B36" s="15">
        <v>0.25</v>
      </c>
      <c r="C36" s="13" t="s">
        <v>137</v>
      </c>
      <c r="D36" s="11"/>
    </row>
    <row r="37" spans="1:4" ht="12.75">
      <c r="A37" s="11"/>
      <c r="B37" s="22"/>
      <c r="C37" s="13"/>
      <c r="D37" s="11"/>
    </row>
    <row r="38" spans="1:4" ht="12.75">
      <c r="A38" s="11" t="s">
        <v>147</v>
      </c>
      <c r="B38" s="18" t="s">
        <v>38</v>
      </c>
      <c r="C38" s="13" t="s">
        <v>39</v>
      </c>
      <c r="D38" s="11"/>
    </row>
    <row r="39" spans="1:4" ht="12.75">
      <c r="A39" s="11" t="s">
        <v>148</v>
      </c>
      <c r="B39" s="44">
        <v>1</v>
      </c>
      <c r="C39" s="13"/>
      <c r="D39" s="11"/>
    </row>
    <row r="40" spans="1:2" s="11" customFormat="1" ht="12.75">
      <c r="A40" s="11" t="s">
        <v>149</v>
      </c>
      <c r="B40" s="15">
        <f>B11</f>
        <v>0.01</v>
      </c>
    </row>
  </sheetData>
  <sheetProtection/>
  <hyperlinks>
    <hyperlink ref="E7" r:id="rId1" display="http://snapshot.economatica.com/"/>
    <hyperlink ref="E8" r:id="rId2" display="http://www.infoinvest.com.br/ptb/"/>
  </hyperlinks>
  <printOptions/>
  <pageMargins left="0.787401575" right="0.787401575" top="0.984251969" bottom="0.984251969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M37"/>
  <sheetViews>
    <sheetView zoomScalePageLayoutView="0" workbookViewId="0" topLeftCell="D4">
      <selection activeCell="L12" sqref="L12"/>
    </sheetView>
  </sheetViews>
  <sheetFormatPr defaultColWidth="11.375" defaultRowHeight="12.75"/>
  <cols>
    <col min="1" max="1" width="35.375" style="0" bestFit="1" customWidth="1"/>
    <col min="2" max="2" width="11.375" style="0" customWidth="1"/>
    <col min="3" max="3" width="21.125" style="0" customWidth="1"/>
  </cols>
  <sheetData>
    <row r="1" spans="1:10" s="5" customFormat="1" ht="15.75">
      <c r="A1" s="94" t="s">
        <v>150</v>
      </c>
      <c r="B1" s="94"/>
      <c r="C1" s="94"/>
      <c r="D1" s="94"/>
      <c r="E1" s="94"/>
      <c r="F1" s="94"/>
      <c r="G1" s="94"/>
      <c r="H1" s="94"/>
      <c r="I1" s="94"/>
      <c r="J1" s="94"/>
    </row>
    <row r="2" spans="1:2" s="11" customFormat="1" ht="12.75">
      <c r="A2" s="11" t="s">
        <v>157</v>
      </c>
      <c r="B2" s="18">
        <v>1</v>
      </c>
    </row>
    <row r="3" s="11" customFormat="1" ht="12.75">
      <c r="A3" s="11" t="s">
        <v>153</v>
      </c>
    </row>
    <row r="4" spans="2:7" s="11" customFormat="1" ht="12.75">
      <c r="B4" s="30">
        <v>-5</v>
      </c>
      <c r="C4" s="30">
        <v>-4</v>
      </c>
      <c r="D4" s="30">
        <v>-3</v>
      </c>
      <c r="E4" s="30">
        <v>-2</v>
      </c>
      <c r="F4" s="30" t="s">
        <v>175</v>
      </c>
      <c r="G4" s="30" t="s">
        <v>176</v>
      </c>
    </row>
    <row r="5" spans="1:7" s="11" customFormat="1" ht="12.75">
      <c r="A5" s="11" t="s">
        <v>154</v>
      </c>
      <c r="B5" s="80">
        <v>122</v>
      </c>
      <c r="C5" s="80">
        <v>207</v>
      </c>
      <c r="D5" s="80">
        <v>218</v>
      </c>
      <c r="E5" s="81">
        <v>253</v>
      </c>
      <c r="F5" s="82">
        <v>434</v>
      </c>
      <c r="G5" s="33">
        <f>AVERAGE(B5:E5)</f>
        <v>200</v>
      </c>
    </row>
    <row r="6" s="11" customFormat="1" ht="12.75"/>
    <row r="7" s="11" customFormat="1" ht="12.75">
      <c r="A7" s="11" t="s">
        <v>155</v>
      </c>
    </row>
    <row r="8" spans="1:11" s="11" customFormat="1" ht="12.75">
      <c r="A8" s="11" t="s">
        <v>156</v>
      </c>
      <c r="B8" s="38">
        <v>0.15</v>
      </c>
      <c r="K8"/>
    </row>
    <row r="9" s="11" customFormat="1" ht="12.75"/>
    <row r="10" spans="4:12" ht="12.75">
      <c r="D10" s="79"/>
      <c r="E10" s="80"/>
      <c r="F10" s="80"/>
      <c r="G10" s="80"/>
      <c r="H10" s="80"/>
      <c r="I10" s="80"/>
      <c r="J10" s="11"/>
      <c r="K10" s="11"/>
      <c r="L10" s="66"/>
    </row>
    <row r="11" spans="2:11" ht="12.75">
      <c r="B11" s="1" t="s">
        <v>245</v>
      </c>
      <c r="D11" s="72" t="s">
        <v>223</v>
      </c>
      <c r="E11" s="72" t="s">
        <v>224</v>
      </c>
      <c r="F11" s="72" t="s">
        <v>225</v>
      </c>
      <c r="G11" s="72" t="s">
        <v>226</v>
      </c>
      <c r="H11" s="72" t="s">
        <v>227</v>
      </c>
      <c r="I11" s="72" t="s">
        <v>228</v>
      </c>
      <c r="J11" s="72" t="s">
        <v>246</v>
      </c>
      <c r="K11" s="72" t="s">
        <v>250</v>
      </c>
    </row>
    <row r="12" spans="4:12" ht="12.75">
      <c r="D12" s="79">
        <v>56460</v>
      </c>
      <c r="E12" s="80">
        <v>93049</v>
      </c>
      <c r="F12" s="80">
        <v>122323</v>
      </c>
      <c r="G12" s="80">
        <v>206816</v>
      </c>
      <c r="H12" s="80">
        <v>217967</v>
      </c>
      <c r="I12" s="81">
        <v>253312</v>
      </c>
      <c r="J12" s="82">
        <v>434028</v>
      </c>
      <c r="K12" s="66">
        <v>575179</v>
      </c>
      <c r="L12">
        <f>K12^(1/6)</f>
        <v>9.119419000277789</v>
      </c>
    </row>
    <row r="13" spans="3:5" ht="12.75">
      <c r="C13" s="68"/>
      <c r="D13" s="91">
        <f>(TOPO_6)*(1.393185)^7</f>
        <v>575178.1810744212</v>
      </c>
      <c r="E13" t="s">
        <v>251</v>
      </c>
    </row>
    <row r="14" ht="12.75">
      <c r="C14" s="68"/>
    </row>
    <row r="15" spans="2:10" ht="12.75">
      <c r="B15" s="67"/>
      <c r="C15" s="68"/>
      <c r="D15" s="72" t="s">
        <v>223</v>
      </c>
      <c r="E15" s="72" t="s">
        <v>224</v>
      </c>
      <c r="F15" s="72" t="s">
        <v>225</v>
      </c>
      <c r="G15" s="72" t="s">
        <v>226</v>
      </c>
      <c r="H15" s="72" t="s">
        <v>227</v>
      </c>
      <c r="I15" s="72" t="s">
        <v>227</v>
      </c>
      <c r="J15" s="72" t="s">
        <v>228</v>
      </c>
    </row>
    <row r="16" spans="3:10" ht="12.75">
      <c r="C16" s="67" t="s">
        <v>233</v>
      </c>
      <c r="D16" s="77">
        <v>6104769</v>
      </c>
      <c r="E16" s="77">
        <v>10396099</v>
      </c>
      <c r="F16" s="77">
        <v>10396099</v>
      </c>
      <c r="G16" s="77">
        <v>10396099</v>
      </c>
      <c r="H16" s="77">
        <v>20792198</v>
      </c>
      <c r="I16" s="77"/>
      <c r="J16" s="78"/>
    </row>
    <row r="17" spans="2:10" ht="12.75">
      <c r="B17" s="69"/>
      <c r="C17" s="71" t="s">
        <v>234</v>
      </c>
      <c r="D17" s="74">
        <v>124.15</v>
      </c>
      <c r="E17" s="74">
        <v>76.77</v>
      </c>
      <c r="F17" s="74">
        <v>85.26</v>
      </c>
      <c r="G17" s="74">
        <v>95.89</v>
      </c>
      <c r="H17" s="74">
        <v>55.71</v>
      </c>
      <c r="I17" s="75" t="s">
        <v>243</v>
      </c>
      <c r="J17" s="76" t="s">
        <v>244</v>
      </c>
    </row>
    <row r="18" spans="2:10" ht="12.75">
      <c r="B18" s="70"/>
      <c r="C18" s="71" t="s">
        <v>229</v>
      </c>
      <c r="D18" s="89">
        <v>9.25</v>
      </c>
      <c r="E18" s="89">
        <v>8.95</v>
      </c>
      <c r="F18" s="89">
        <v>11.77</v>
      </c>
      <c r="G18" s="89">
        <v>19.89</v>
      </c>
      <c r="H18" s="89">
        <v>10.48</v>
      </c>
      <c r="I18" s="75" t="s">
        <v>241</v>
      </c>
      <c r="J18" s="76" t="s">
        <v>242</v>
      </c>
    </row>
    <row r="19" spans="2:10" ht="12.75">
      <c r="B19" s="70"/>
      <c r="C19" s="71" t="s">
        <v>220</v>
      </c>
      <c r="D19" s="89">
        <v>143.46</v>
      </c>
      <c r="E19" s="89">
        <v>348.27</v>
      </c>
      <c r="F19" s="89">
        <v>207.92</v>
      </c>
      <c r="G19" s="89">
        <v>904.46</v>
      </c>
      <c r="H19" s="89">
        <v>717.33</v>
      </c>
      <c r="I19" s="89"/>
      <c r="J19" s="89"/>
    </row>
    <row r="20" spans="2:10" ht="12.75">
      <c r="B20" s="70"/>
      <c r="C20" s="71" t="s">
        <v>230</v>
      </c>
      <c r="D20" s="89">
        <v>2.54</v>
      </c>
      <c r="E20" s="89">
        <v>3.74</v>
      </c>
      <c r="F20" s="89">
        <v>1.7</v>
      </c>
      <c r="G20" s="89">
        <v>4.37</v>
      </c>
      <c r="H20" s="89">
        <v>3.29</v>
      </c>
      <c r="I20" s="76" t="s">
        <v>237</v>
      </c>
      <c r="J20" s="76" t="s">
        <v>238</v>
      </c>
    </row>
    <row r="21" spans="2:10" ht="12.75">
      <c r="B21" s="70"/>
      <c r="C21" s="71" t="s">
        <v>231</v>
      </c>
      <c r="D21" s="89">
        <v>0.19</v>
      </c>
      <c r="E21" s="89">
        <v>0.44</v>
      </c>
      <c r="F21" s="89">
        <v>0.23</v>
      </c>
      <c r="G21" s="89">
        <v>0.91</v>
      </c>
      <c r="H21" s="89">
        <v>0.62</v>
      </c>
      <c r="I21" s="75" t="s">
        <v>239</v>
      </c>
      <c r="J21" s="76" t="s">
        <v>240</v>
      </c>
    </row>
    <row r="22" spans="2:10" ht="12.75" customHeight="1">
      <c r="B22" s="95"/>
      <c r="C22" s="96"/>
      <c r="D22" s="96"/>
      <c r="E22" s="96"/>
      <c r="F22" s="96"/>
      <c r="G22" s="96"/>
      <c r="H22" s="96"/>
      <c r="I22" s="96"/>
      <c r="J22" s="96"/>
    </row>
    <row r="23" spans="2:13" ht="12.75">
      <c r="B23" s="70"/>
      <c r="C23" s="72" t="s">
        <v>221</v>
      </c>
      <c r="D23" s="72" t="s">
        <v>222</v>
      </c>
      <c r="E23" s="72"/>
      <c r="F23" s="72" t="s">
        <v>223</v>
      </c>
      <c r="G23" s="72" t="s">
        <v>224</v>
      </c>
      <c r="H23" s="72" t="s">
        <v>225</v>
      </c>
      <c r="I23" s="72" t="s">
        <v>226</v>
      </c>
      <c r="J23" s="72" t="s">
        <v>227</v>
      </c>
      <c r="K23" s="72" t="s">
        <v>228</v>
      </c>
      <c r="L23" s="72" t="s">
        <v>246</v>
      </c>
      <c r="M23" s="72" t="s">
        <v>250</v>
      </c>
    </row>
    <row r="24" spans="2:13" ht="12.75">
      <c r="B24" s="69"/>
      <c r="C24" s="83" t="s">
        <v>3</v>
      </c>
      <c r="D24" s="73">
        <v>0.46</v>
      </c>
      <c r="E24" s="73"/>
      <c r="F24" s="74">
        <v>8.05</v>
      </c>
      <c r="G24" s="74">
        <v>13.2</v>
      </c>
      <c r="H24" s="74">
        <v>16.01</v>
      </c>
      <c r="I24" s="74">
        <v>26.18</v>
      </c>
      <c r="J24" s="74">
        <v>23.18</v>
      </c>
      <c r="K24" s="75" t="s">
        <v>235</v>
      </c>
      <c r="L24" s="76" t="s">
        <v>236</v>
      </c>
      <c r="M24" s="88">
        <v>29.17</v>
      </c>
    </row>
    <row r="27" spans="10:11" ht="12.75">
      <c r="J27" s="85"/>
      <c r="K27" s="85"/>
    </row>
    <row r="29" spans="3:8" ht="12.75">
      <c r="C29" s="84"/>
      <c r="D29" s="84"/>
      <c r="E29" s="84"/>
      <c r="F29" s="84"/>
      <c r="G29" s="84"/>
      <c r="H29" s="84"/>
    </row>
    <row r="30" spans="3:5" ht="12.75">
      <c r="C30" s="85"/>
      <c r="D30" s="86"/>
      <c r="E30" s="85"/>
    </row>
    <row r="31" spans="3:5" ht="12.75">
      <c r="C31" s="85"/>
      <c r="D31" s="87"/>
      <c r="E31" s="85"/>
    </row>
    <row r="32" spans="3:5" ht="12.75">
      <c r="C32" s="85"/>
      <c r="D32" s="87"/>
      <c r="E32" s="85"/>
    </row>
    <row r="33" spans="3:5" ht="12.75">
      <c r="C33" s="85"/>
      <c r="D33" s="87"/>
      <c r="E33" s="85"/>
    </row>
    <row r="34" spans="3:5" ht="12.75">
      <c r="C34" s="85"/>
      <c r="D34" s="87"/>
      <c r="E34" s="85"/>
    </row>
    <row r="35" spans="3:5" ht="12.75">
      <c r="C35" s="85"/>
      <c r="D35" s="87"/>
      <c r="E35" s="85"/>
    </row>
    <row r="36" spans="3:10" ht="12.75" customHeight="1">
      <c r="C36" s="97"/>
      <c r="D36" s="98"/>
      <c r="E36" s="98"/>
      <c r="F36" s="98"/>
      <c r="G36" s="98"/>
      <c r="H36" s="98"/>
      <c r="I36" s="98"/>
      <c r="J36" s="98"/>
    </row>
    <row r="37" spans="3:10" ht="12.75">
      <c r="C37" s="85"/>
      <c r="D37" s="84"/>
      <c r="E37" s="84"/>
      <c r="F37" s="84"/>
      <c r="G37" s="84"/>
      <c r="H37" s="84"/>
      <c r="I37" s="84"/>
      <c r="J37" s="84"/>
    </row>
  </sheetData>
  <sheetProtection/>
  <mergeCells count="3">
    <mergeCell ref="A1:J1"/>
    <mergeCell ref="B22:J22"/>
    <mergeCell ref="C36:J36"/>
  </mergeCells>
  <hyperlinks>
    <hyperlink ref="C17" r:id="rId1" display="30"/>
    <hyperlink ref="C18" r:id="rId2" display="25"/>
    <hyperlink ref="C19" r:id="rId3" display="18"/>
    <hyperlink ref="C20" r:id="rId4" display="10"/>
    <hyperlink ref="C21" r:id="rId5" display="11"/>
    <hyperlink ref="C24" r:id="rId6" display="4"/>
  </hyperlinks>
  <printOptions/>
  <pageMargins left="0.787401575" right="0.787401575" top="0.984251969" bottom="0.984251969" header="0.5" footer="0.5"/>
  <pageSetup horizontalDpi="300" verticalDpi="300" orientation="portrait" paperSize="9" r:id="rId9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2:Q38"/>
  <sheetViews>
    <sheetView showGridLines="0" zoomScalePageLayoutView="0" workbookViewId="0" topLeftCell="A10">
      <selection activeCell="F5" sqref="F5"/>
    </sheetView>
  </sheetViews>
  <sheetFormatPr defaultColWidth="12.375" defaultRowHeight="12.75"/>
  <cols>
    <col min="1" max="1" width="2.75390625" style="0" customWidth="1"/>
    <col min="2" max="2" width="16.625" style="0" customWidth="1"/>
  </cols>
  <sheetData>
    <row r="1" ht="19.5" customHeight="1"/>
    <row r="2" spans="1:9" ht="19.5" customHeight="1">
      <c r="A2" s="9"/>
      <c r="B2" s="8" t="s">
        <v>205</v>
      </c>
      <c r="C2" s="3"/>
      <c r="D2" s="3"/>
      <c r="E2" s="3"/>
      <c r="F2" s="3"/>
      <c r="G2" s="3"/>
      <c r="H2" s="9"/>
      <c r="I2" s="9"/>
    </row>
    <row r="3" spans="2:7" ht="19.5" customHeight="1">
      <c r="B3" s="11" t="s">
        <v>206</v>
      </c>
      <c r="C3" s="11"/>
      <c r="D3" s="26">
        <f>Entradas!B10+Entradas!B9*Entradas!B11</f>
        <v>0.09999999999999999</v>
      </c>
      <c r="E3" s="13"/>
      <c r="F3" s="13"/>
      <c r="G3" s="11"/>
    </row>
    <row r="4" spans="2:7" ht="19.5" customHeight="1">
      <c r="B4" s="11" t="s">
        <v>158</v>
      </c>
      <c r="C4" s="11"/>
      <c r="D4" s="60">
        <f>IF(Entradas!B6="No",Entradas!B2,IF('Lucros normalizados'!B2=1,'Lucros normalizados'!G5,'Lucros normalizados'!B8*Entradas!C3))</f>
        <v>434</v>
      </c>
      <c r="E4" s="13"/>
      <c r="F4" s="13"/>
      <c r="G4" s="11"/>
    </row>
    <row r="5" spans="2:7" ht="19.5" customHeight="1">
      <c r="B5" s="11" t="s">
        <v>159</v>
      </c>
      <c r="C5" s="11"/>
      <c r="D5" s="54">
        <f>IF(Entradas!B6="No",Entradas!B4,IF('Lucros normalizados'!B2=1,('Lucros normalizados'!G5/Entradas!B2)*Entradas!B4,(('Lucros normalizados'!B8*Entradas!C3)/Entradas!B2)*Entradas!B4))</f>
        <v>0.020875</v>
      </c>
      <c r="E5" s="13"/>
      <c r="F5" s="13"/>
      <c r="G5" s="11"/>
    </row>
    <row r="6" spans="2:7" s="7" customFormat="1" ht="19.5" customHeight="1">
      <c r="B6" s="11" t="s">
        <v>160</v>
      </c>
      <c r="C6" s="16"/>
      <c r="D6" s="35">
        <f>IF(Entradas!B16="Yes",IF(Entradas!B21="Yes",Entradas!B23*Entradas!B24,Entradas!B19*Entradas!B20),Entradas!B17)</f>
        <v>0.10500000000000001</v>
      </c>
      <c r="E6" s="27"/>
      <c r="F6" s="27"/>
      <c r="G6" s="16"/>
    </row>
    <row r="7" spans="2:6" ht="19.5" customHeight="1">
      <c r="B7" s="47" t="s">
        <v>161</v>
      </c>
      <c r="C7" s="11"/>
      <c r="D7" s="26">
        <f>IF(Entradas!B21="Yes",1-Entradas!B24,1-Entradas!B20)</f>
        <v>0.25</v>
      </c>
      <c r="E7" s="13"/>
      <c r="F7" s="11"/>
    </row>
    <row r="8" spans="2:7" ht="19.5" customHeight="1">
      <c r="B8" s="11"/>
      <c r="C8" s="11"/>
      <c r="D8" s="11"/>
      <c r="E8" s="28"/>
      <c r="F8" s="13"/>
      <c r="G8" s="11"/>
    </row>
    <row r="9" spans="2:7" ht="19.5" customHeight="1">
      <c r="B9" s="16" t="s">
        <v>162</v>
      </c>
      <c r="C9" s="11"/>
      <c r="D9" s="11"/>
      <c r="E9" s="28"/>
      <c r="F9" s="13"/>
      <c r="G9" s="11"/>
    </row>
    <row r="10" spans="2:17" s="11" customFormat="1" ht="19.5" customHeight="1">
      <c r="B10" s="30"/>
      <c r="C10" s="30">
        <f>IF(Entradas!B14=0," ",1)</f>
        <v>1</v>
      </c>
      <c r="D10" s="30">
        <f>IF(Entradas!B14&lt;2," ",2)</f>
        <v>2</v>
      </c>
      <c r="E10" s="31">
        <f>IF(Entradas!B14&lt;3," ",3)</f>
        <v>3</v>
      </c>
      <c r="F10" s="30">
        <f>IF(Entradas!B14&lt;4," ",4)</f>
        <v>4</v>
      </c>
      <c r="G10" s="30">
        <f>IF(Entradas!B14&lt;5," ",5)</f>
        <v>5</v>
      </c>
      <c r="H10" s="30">
        <f>IF(Entradas!B14&lt;6," ",6)</f>
        <v>6</v>
      </c>
      <c r="I10" s="30">
        <f>IF(Entradas!B14&lt;7," ",7)</f>
        <v>7</v>
      </c>
      <c r="J10" s="30">
        <f>IF(Entradas!B14&lt;8," ",8)</f>
        <v>8</v>
      </c>
      <c r="K10" s="30">
        <f>IF(Entradas!B14&lt;9," ",9)</f>
        <v>9</v>
      </c>
      <c r="L10" s="30">
        <f>IF(Entradas!B14&lt;10," ",10)</f>
        <v>10</v>
      </c>
      <c r="M10" s="30" t="str">
        <f>IF(Entradas!B14&lt;11," ",11)</f>
        <v> </v>
      </c>
      <c r="N10" s="30" t="str">
        <f>IF(Entradas!B14&lt;12," ",12)</f>
        <v> </v>
      </c>
      <c r="O10" s="30" t="str">
        <f>IF(Entradas!B14&lt;13," ",13)</f>
        <v> </v>
      </c>
      <c r="P10" s="30" t="str">
        <f>IF(Entradas!B14&lt;14," ",14)</f>
        <v> </v>
      </c>
      <c r="Q10" s="30" t="str">
        <f>IF(Entradas!B14&lt;15," ",15)</f>
        <v> </v>
      </c>
    </row>
    <row r="11" spans="2:17" s="11" customFormat="1" ht="19.5" customHeight="1">
      <c r="B11" s="48" t="s">
        <v>216</v>
      </c>
      <c r="C11" s="59">
        <f>IF(Entradas!$B$14&lt;C10," ",IF(Entradas!$B$29="Yes",IF(C10&lt;(Entradas!$B$14/2),$D$6,$D$19+(($D$6-$D$19)/(Entradas!$B$14/2))*(Entradas!$B$14-C10)),$D$6))</f>
        <v>0.10500000000000001</v>
      </c>
      <c r="D11" s="59">
        <f>IF(Entradas!$B$14&lt;D10," ",IF(Entradas!$B$29="Yes",IF(D10&lt;(Entradas!$B$14/2),$D$6,$D$19+(($D$6-$D$19)/(Entradas!$B$14/2))*(Entradas!$B$14-D10)),$D$6))</f>
        <v>0.10500000000000001</v>
      </c>
      <c r="E11" s="59">
        <f>IF(Entradas!$B$14&lt;E10," ",IF(Entradas!$B$29="Yes",IF(E10&lt;(Entradas!$B$14/2),$D$6,$D$19+(($D$6-$D$19)/(Entradas!$B$14/2))*(Entradas!$B$14-E10)),$D$6))</f>
        <v>0.10500000000000001</v>
      </c>
      <c r="F11" s="59">
        <f>IF(Entradas!$B$14&lt;F10," ",IF(Entradas!$B$29="Yes",IF(F10&lt;(Entradas!$B$14/2),$D$6,$D$19+(($D$6-$D$19)/(Entradas!$B$14/2))*(Entradas!$B$14-F10)),$D$6))</f>
        <v>0.10500000000000001</v>
      </c>
      <c r="G11" s="59">
        <f>IF(Entradas!$B$14&lt;G10," ",IF(Entradas!$B$29="Yes",IF(G10&lt;(Entradas!$B$14/2),$D$6,$D$19+(($D$6-$D$19)/(Entradas!$B$14/2))*(Entradas!$B$14-G10)),$D$6))</f>
        <v>0.10500000000000001</v>
      </c>
      <c r="H11" s="59">
        <f>IF(Entradas!$B$14&lt;H10," ",IF(Entradas!$B$29="Yes",IF(H10&lt;(Entradas!$B$14/2),$D$6,$D$19+(($D$6-$D$19)/(Entradas!$B$14/2))*(Entradas!$B$14-H10)),$D$6))</f>
        <v>0.10500000000000001</v>
      </c>
      <c r="I11" s="59">
        <f>IF(Entradas!$B$14&lt;I10," ",IF(Entradas!$B$29="Yes",IF(I10&lt;(Entradas!$B$14/2),$D$6,$D$19+(($D$6-$D$19)/(Entradas!$B$14/2))*(Entradas!$B$14-I10)),$D$6))</f>
        <v>0.10500000000000001</v>
      </c>
      <c r="J11" s="59">
        <f>IF(Entradas!$B$14&lt;J10," ",IF(Entradas!$B$29="Yes",IF(J10&lt;(Entradas!$B$14/2),$D$6,$D$19+(($D$6-$D$19)/(Entradas!$B$14/2))*(Entradas!$B$14-J10)),$D$6))</f>
        <v>0.10500000000000001</v>
      </c>
      <c r="K11" s="59">
        <f>IF(Entradas!$B$14&lt;K10," ",IF(Entradas!$B$29="Yes",IF(K10&lt;(Entradas!$B$14/2),$D$6,$D$19+(($D$6-$D$19)/(Entradas!$B$14/2))*(Entradas!$B$14-K10)),$D$6))</f>
        <v>0.10500000000000001</v>
      </c>
      <c r="L11" s="59">
        <f>IF(Entradas!$B$14&lt;L10," ",IF(Entradas!$B$29="Yes",IF(L10&lt;(Entradas!$B$14/2),$D$6,$D$19+(($D$6-$D$19)/(Entradas!$B$14/2))*(Entradas!$B$14-L10)),$D$6))</f>
        <v>0.10500000000000001</v>
      </c>
      <c r="M11" s="39" t="str">
        <f>IF(Entradas!$B$14&lt;M10," ",IF(Entradas!$B$29="Yes",IF(M10&lt;(Entradas!$B$14/2),$D$6,$D$19+(($D$6-$D$19)/(Entradas!$B$14/2))*(Entradas!$B$14-M10)),$D$6))</f>
        <v> </v>
      </c>
      <c r="N11" s="39" t="str">
        <f>IF(Entradas!$B$14&lt;N10," ",IF(Entradas!$B$29="Yes",IF(N10&lt;(Entradas!$B$14/2),$D$6,$D$19+(($D$6-$D$19)/(Entradas!$B$14/2))*(Entradas!$B$14-N10)),$D$6))</f>
        <v> </v>
      </c>
      <c r="O11" s="39" t="str">
        <f>IF(Entradas!$B$14&lt;O10," ",IF(Entradas!$B$29="Yes",IF(O10&lt;(Entradas!$B$14/2),$D$6,$D$19+(($D$6-$D$19)/(Entradas!$B$14/2))*(Entradas!$B$14-O10)),$D$6))</f>
        <v> </v>
      </c>
      <c r="P11" s="39" t="str">
        <f>IF(Entradas!$B$14&lt;P10," ",IF(Entradas!$B$29="Yes",IF(P10&lt;(Entradas!$B$14/2),$D$6,$D$19+(($D$6-$D$19)/(Entradas!$B$14/2))*(Entradas!$B$14-P10)),$D$6))</f>
        <v> </v>
      </c>
      <c r="Q11" s="39" t="str">
        <f>IF(Entradas!$B$14&lt;Q10," ",IF(Entradas!$B$29="Yes",IF(Q10&lt;(Entradas!$B$14/2),$D$6,$D$19+(($D$6-$D$19)/(Entradas!$B$14/2))*(Entradas!$B$14-Q10)),$D$6))</f>
        <v> </v>
      </c>
    </row>
    <row r="12" spans="2:17" s="11" customFormat="1" ht="19.5" customHeight="1">
      <c r="B12" s="34" t="s">
        <v>163</v>
      </c>
      <c r="C12" s="58">
        <f>IF(Entradas!$B$14&lt;C10," ",D5*(1+D11))</f>
        <v>0.023066875</v>
      </c>
      <c r="D12" s="58">
        <f>IF(Entradas!$B$14&lt;D10," ",C12*(1+D11))</f>
        <v>0.025488896875</v>
      </c>
      <c r="E12" s="58">
        <f>IF(Entradas!$B$14&lt;E10," ",D12*(1+E11))</f>
        <v>0.028165231046875</v>
      </c>
      <c r="F12" s="58">
        <f>IF(Entradas!$B$14&lt;F10," ",E12*(1+F11))</f>
        <v>0.031122580306796873</v>
      </c>
      <c r="G12" s="58">
        <f>IF(Entradas!$B$14&lt;G10," ",F12*(1+G11))</f>
        <v>0.03439045123901054</v>
      </c>
      <c r="H12" s="58">
        <f>IF(Entradas!$B$14&lt;H10," ",G12*(1+H11))</f>
        <v>0.03800144861910665</v>
      </c>
      <c r="I12" s="58">
        <f>IF(Entradas!$B$14&lt;I10," ",H12*(1+I11))</f>
        <v>0.04199160072411284</v>
      </c>
      <c r="J12" s="58">
        <f>IF(Entradas!$B$14&lt;J10," ",I12*(1+J11))</f>
        <v>0.046400718800144694</v>
      </c>
      <c r="K12" s="58">
        <f>IF(Entradas!$B$14&lt;K10," ",J12*(1+K11))</f>
        <v>0.051272794274159886</v>
      </c>
      <c r="L12" s="58">
        <f>IF(Entradas!$B$14&lt;L10," ",K12*(1+L11))</f>
        <v>0.056656437672946675</v>
      </c>
      <c r="M12" s="33" t="str">
        <f>IF(Entradas!$B$14&lt;M10," ",L12*(1+M11))</f>
        <v> </v>
      </c>
      <c r="N12" s="33" t="str">
        <f>IF(Entradas!$B$14&lt;N10," ",M12*(1+N11))</f>
        <v> </v>
      </c>
      <c r="O12" s="33" t="str">
        <f>IF(Entradas!$B$14&lt;O10," ",N12*(1+O11))</f>
        <v> </v>
      </c>
      <c r="P12" s="33" t="str">
        <f>IF(Entradas!$B$14&lt;P10," ",O12*(1+P11))</f>
        <v> </v>
      </c>
      <c r="Q12" s="33" t="str">
        <f>IF(Entradas!$B$14&lt;Q10," ",P12*(1+Q11))</f>
        <v> </v>
      </c>
    </row>
    <row r="13" spans="2:17" s="11" customFormat="1" ht="19.5" customHeight="1">
      <c r="B13" s="34" t="s">
        <v>164</v>
      </c>
      <c r="C13" s="25">
        <f>IF(Entradas!$B$14&lt;C10," ",IF(Entradas!$B$29="Yes",IF(C10&lt;(Entradas!$B$14/2),$D$7,$D$20+(($D$7-$D$20)/(Entradas!$B$14/2))*(Entradas!$B$14-C10)),$D$7))</f>
        <v>0.25</v>
      </c>
      <c r="D13" s="25">
        <f>IF(Entradas!$B$14&lt;D10," ",IF(Entradas!$B$29="Yes",IF(D10&lt;(Entradas!$B$14/2),$D$7,$D$20+(($D$7-$D$20)/(Entradas!$B$14/2))*(Entradas!$B$14-D10)),$D$7))</f>
        <v>0.25</v>
      </c>
      <c r="E13" s="25">
        <f>IF(Entradas!$B$14&lt;E10," ",IF(Entradas!$B$29="Yes",IF(E10&lt;(Entradas!$B$14/2),$D$7,$D$20+(($D$7-$D$20)/(Entradas!$B$14/2))*(Entradas!$B$14-E10)),$D$7))</f>
        <v>0.25</v>
      </c>
      <c r="F13" s="25">
        <f>IF(Entradas!$B$14&lt;F10," ",IF(Entradas!$B$29="Yes",IF(F10&lt;(Entradas!$B$14/2),$D$7,$D$20+(($D$7-$D$20)/(Entradas!$B$14/2))*(Entradas!$B$14-F10)),$D$7))</f>
        <v>0.25</v>
      </c>
      <c r="G13" s="25">
        <f>IF(Entradas!$B$14&lt;G10," ",IF(Entradas!$B$29="Yes",IF(G10&lt;(Entradas!$B$14/2),$D$7,$D$20+(($D$7-$D$20)/(Entradas!$B$14/2))*(Entradas!$B$14-G10)),$D$7))</f>
        <v>0.25</v>
      </c>
      <c r="H13" s="25">
        <f>IF(Entradas!$B$14&lt;H10," ",IF(Entradas!$B$29="Yes",IF(H10&lt;(Entradas!$B$14/2),$D$7,$D$20+(($D$7-$D$20)/(Entradas!$B$14/2))*(Entradas!$B$14-H10)),$D$7))</f>
        <v>0.25</v>
      </c>
      <c r="I13" s="25">
        <f>IF(Entradas!$B$14&lt;I10," ",IF(Entradas!$B$29="Yes",IF(I10&lt;(Entradas!$B$14/2),$D$7,$D$20+(($D$7-$D$20)/(Entradas!$B$14/2))*(Entradas!$B$14-I10)),$D$7))</f>
        <v>0.25</v>
      </c>
      <c r="J13" s="25">
        <f>IF(Entradas!$B$14&lt;J10," ",IF(Entradas!$B$29="Yes",IF(J10&lt;(Entradas!$B$14/2),$D$7,$D$20+(($D$7-$D$20)/(Entradas!$B$14/2))*(Entradas!$B$14-J10)),$D$7))</f>
        <v>0.25</v>
      </c>
      <c r="K13" s="25">
        <f>IF(Entradas!$B$14&lt;K10," ",IF(Entradas!$B$29="Yes",IF(K10&lt;(Entradas!$B$14/2),$D$7,$D$20+(($D$7-$D$20)/(Entradas!$B$14/2))*(Entradas!$B$14-K10)),$D$7))</f>
        <v>0.25</v>
      </c>
      <c r="L13" s="25">
        <f>IF(Entradas!$B$14&lt;L10," ",IF(Entradas!$B$29="Yes",IF(L10&lt;(Entradas!$B$14/2),$D$7,$D$20+(($D$7-$D$20)/(Entradas!$B$14/2))*(Entradas!$B$14-L10)),$D$7))</f>
        <v>0.25</v>
      </c>
      <c r="M13" s="25" t="str">
        <f>IF(Entradas!$B$14&lt;M10," ",IF(Entradas!$B$29="Yes",IF(M10&lt;(Entradas!$B$14/2),$D$7,$D$20+(($D$7-$D$20)/(Entradas!$B$14/2))*(Entradas!$B$14-M10)),$D$7))</f>
        <v> </v>
      </c>
      <c r="N13" s="25" t="str">
        <f>IF(Entradas!$B$14&lt;N10," ",IF(Entradas!$B$29="Yes",IF(N10&lt;(Entradas!$B$14/2),$D$7,$D$20+(($D$7-$D$20)/(Entradas!$B$14/2))*(Entradas!$B$14-N10)),$D$7))</f>
        <v> </v>
      </c>
      <c r="O13" s="25" t="str">
        <f>IF(Entradas!$B$14&lt;O10," ",IF(Entradas!$B$29="Yes",IF(O10&lt;(Entradas!$B$14/2),$D$7,$D$20+(($D$7-$D$20)/(Entradas!$B$14/2))*(Entradas!$B$14-O10)),$D$7))</f>
        <v> </v>
      </c>
      <c r="P13" s="25" t="str">
        <f>IF(Entradas!$B$14&lt;P10," ",IF(Entradas!$B$29="Yes",IF(P10&lt;(Entradas!$B$14/2),$D$7,$D$20+(($D$7-$D$20)/(Entradas!$B$14/2))*(Entradas!$B$14-P10)),$D$7))</f>
        <v> </v>
      </c>
      <c r="Q13" s="25" t="str">
        <f>IF(Entradas!$B$14&lt;Q10," ",IF(Entradas!$B$29="Yes",IF(Q10&lt;(Entradas!$B$14/2),$D$7,$D$20+(($D$7-$D$20)/(Entradas!$B$14/2))*(Entradas!$B$14-Q10)),$D$7))</f>
        <v> </v>
      </c>
    </row>
    <row r="14" spans="2:17" s="11" customFormat="1" ht="19.5" customHeight="1">
      <c r="B14" s="65" t="s">
        <v>165</v>
      </c>
      <c r="C14" s="57">
        <f>IF(Entradas!$B$14&lt;C10," ",C12*C13)</f>
        <v>0.00576671875</v>
      </c>
      <c r="D14" s="57">
        <f>IF(Entradas!$B$14&lt;D10," ",D12*D13)</f>
        <v>0.00637222421875</v>
      </c>
      <c r="E14" s="57">
        <f>IF(Entradas!$B$14&lt;E10," ",E12*E13)</f>
        <v>0.00704130776171875</v>
      </c>
      <c r="F14" s="57">
        <f>IF(Entradas!$B$14&lt;F10," ",F12*F13)</f>
        <v>0.007780645076699218</v>
      </c>
      <c r="G14" s="57">
        <f>IF(Entradas!$B$14&lt;G10," ",G12*G13)</f>
        <v>0.008597612809752636</v>
      </c>
      <c r="H14" s="57">
        <f>IF(Entradas!$B$14&lt;H10," ",H12*H13)</f>
        <v>0.009500362154776662</v>
      </c>
      <c r="I14" s="57">
        <f>IF(Entradas!$B$14&lt;I10," ",I12*I13)</f>
        <v>0.01049790018102821</v>
      </c>
      <c r="J14" s="57">
        <f>IF(Entradas!$B$14&lt;J10," ",J12*J13)</f>
        <v>0.011600179700036174</v>
      </c>
      <c r="K14" s="57">
        <f>IF(Entradas!$B$14&lt;K10," ",K12*K13)</f>
        <v>0.012818198568539971</v>
      </c>
      <c r="L14" s="57">
        <f>IF(Entradas!$B$14&lt;L10," ",L12*L13)</f>
        <v>0.014164109418236669</v>
      </c>
      <c r="M14" s="33" t="str">
        <f>IF(Entradas!$B$14&lt;M10," ",M12*M13)</f>
        <v> </v>
      </c>
      <c r="N14" s="33" t="str">
        <f>IF(Entradas!$B$14&lt;N10," ",N12*N13)</f>
        <v> </v>
      </c>
      <c r="O14" s="33" t="str">
        <f>IF(Entradas!$B$14&lt;O10," ",O12*O13)</f>
        <v> </v>
      </c>
      <c r="P14" s="33" t="str">
        <f>IF(Entradas!$B$14&lt;P10," ",P12*P13)</f>
        <v> </v>
      </c>
      <c r="Q14" s="33" t="str">
        <f>IF(Entradas!$B$14&lt;Q10," ",Q12*Q13)</f>
        <v> </v>
      </c>
    </row>
    <row r="15" spans="2:17" s="11" customFormat="1" ht="19.5" customHeight="1">
      <c r="B15" s="34" t="s">
        <v>166</v>
      </c>
      <c r="C15" s="25">
        <f>IF(Entradas!$B$14&lt;C10," ",IF(Entradas!$B$29="Yes",IF(C10&lt;(Entradas!$B$14/2),$D$3,$D$21+(($D$3-$D$21)/(Entradas!$B$14/2))*(Entradas!$B$14-C10)),$D$3))</f>
        <v>0.09999999999999999</v>
      </c>
      <c r="D15" s="25">
        <f>IF(Entradas!$B$14&lt;D10," ",IF(Entradas!$B$29="Yes",IF(D10&lt;(Entradas!$B$14/2),$D$3,$D$21+(($D$3-$D$21)/(Entradas!$B$14/2))*(Entradas!$B$14-D10)),$D$3))</f>
        <v>0.09999999999999999</v>
      </c>
      <c r="E15" s="25">
        <f>IF(Entradas!$B$14&lt;E10," ",IF(Entradas!$B$29="Yes",IF(E10&lt;(Entradas!$B$14/2),$D$3,$D$21+(($D$3-$D$21)/(Entradas!$B$14/2))*(Entradas!$B$14-E10)),$D$3))</f>
        <v>0.09999999999999999</v>
      </c>
      <c r="F15" s="25">
        <f>IF(Entradas!$B$14&lt;F10," ",IF(Entradas!$B$29="Yes",IF(F10&lt;(Entradas!$B$14/2),$D$3,$D$21+(($D$3-$D$21)/(Entradas!$B$14/2))*(Entradas!$B$14-F10)),$D$3))</f>
        <v>0.09999999999999999</v>
      </c>
      <c r="G15" s="25">
        <f>IF(Entradas!$B$14&lt;G10," ",IF(Entradas!$B$29="Yes",IF(G10&lt;(Entradas!$B$14/2),$D$3,$D$21+(($D$3-$D$21)/(Entradas!$B$14/2))*(Entradas!$B$14-G10)),$D$3))</f>
        <v>0.09999999999999999</v>
      </c>
      <c r="H15" s="25">
        <f>IF(Entradas!$B$14&lt;H10," ",IF(Entradas!$B$29="Yes",IF(H10&lt;(Entradas!$B$14/2),$D$3,$D$21+(($D$3-$D$21)/(Entradas!$B$14/2))*(Entradas!$B$14-H10)),$D$3))</f>
        <v>0.09999999999999999</v>
      </c>
      <c r="I15" s="25">
        <f>IF(Entradas!$B$14&lt;I10," ",IF(Entradas!$B$29="Yes",IF(I10&lt;(Entradas!$B$14/2),$D$3,$D$21+(($D$3-$D$21)/(Entradas!$B$14/2))*(Entradas!$B$14-I10)),$D$3))</f>
        <v>0.09999999999999999</v>
      </c>
      <c r="J15" s="25">
        <f>IF(Entradas!$B$14&lt;J10," ",IF(Entradas!$B$29="Yes",IF(J10&lt;(Entradas!$B$14/2),$D$3,$D$21+(($D$3-$D$21)/(Entradas!$B$14/2))*(Entradas!$B$14-J10)),$D$3))</f>
        <v>0.09999999999999999</v>
      </c>
      <c r="K15" s="25">
        <f>IF(Entradas!$B$14&lt;K10," ",IF(Entradas!$B$29="Yes",IF(K10&lt;(Entradas!$B$14/2),$D$3,$D$21+(($D$3-$D$21)/(Entradas!$B$14/2))*(Entradas!$B$14-K10)),$D$3))</f>
        <v>0.09999999999999999</v>
      </c>
      <c r="L15" s="25">
        <f>IF(Entradas!$B$14&lt;L10," ",IF(Entradas!$B$29="Yes",IF(L10&lt;(Entradas!$B$14/2),$D$3,$D$21+(($D$3-$D$21)/(Entradas!$B$14/2))*(Entradas!$B$14-L10)),$D$3))</f>
        <v>0.09999999999999999</v>
      </c>
      <c r="M15" s="25" t="str">
        <f>IF(Entradas!$B$14&lt;M10," ",IF(Entradas!$B$29="Yes",IF(M10&lt;(Entradas!$B$14/2),$D$3,$D$21+(($D$3-$D$21)/(Entradas!$B$14/2))*(Entradas!$B$14-M10)),$D$3))</f>
        <v> </v>
      </c>
      <c r="N15" s="25" t="str">
        <f>IF(Entradas!$B$14&lt;N10," ",IF(Entradas!$B$29="Yes",IF(N10&lt;(Entradas!$B$14/2),$D$3,$D$21+(($D$3-$D$21)/(Entradas!$B$14/2))*(Entradas!$B$14-N10)),$D$3))</f>
        <v> </v>
      </c>
      <c r="O15" s="25" t="str">
        <f>IF(Entradas!$B$14&lt;O10," ",IF(Entradas!$B$29="Yes",IF(O10&lt;(Entradas!$B$14/2),$D$3,$D$21+(($D$3-$D$21)/(Entradas!$B$14/2))*(Entradas!$B$14-O10)),$D$3))</f>
        <v> </v>
      </c>
      <c r="P15" s="25" t="str">
        <f>IF(Entradas!$B$14&lt;P10," ",IF(Entradas!$B$29="Yes",IF(P10&lt;(Entradas!$B$14/2),$D$3,$D$21+(($D$3-$D$21)/(Entradas!$B$14/2))*(Entradas!$B$14-P10)),$D$3))</f>
        <v> </v>
      </c>
      <c r="Q15" s="25" t="str">
        <f>IF(Entradas!$B$14&lt;Q10," ",IF(Entradas!$B$29="Yes",IF(Q10&lt;(Entradas!$B$14/2),$D$3,$D$21+(($D$3-$D$21)/(Entradas!$B$14/2))*(Entradas!$B$14-Q10)),$D$3))</f>
        <v> </v>
      </c>
    </row>
    <row r="16" spans="2:17" s="11" customFormat="1" ht="19.5" customHeight="1">
      <c r="B16" s="64" t="s">
        <v>167</v>
      </c>
      <c r="C16" s="25">
        <f>IF(Entradas!$B$14&lt;C10," ",(1+C15))</f>
        <v>1.1</v>
      </c>
      <c r="D16" s="25">
        <f>IF(Entradas!$B$14&lt;D10," ",(1+C15)*(1+D15))</f>
        <v>1.2100000000000002</v>
      </c>
      <c r="E16" s="25">
        <f>IF(Entradas!$B$14&lt;E10," ",(1+C15)*(1+D15)*(1+E15))</f>
        <v>1.3310000000000004</v>
      </c>
      <c r="F16" s="25">
        <f>IF(Entradas!$B$14&lt;F10," ",(1+C15)*(1+D15)*(1+E15)*(1+F15))</f>
        <v>1.4641000000000006</v>
      </c>
      <c r="G16" s="25">
        <f>IF(Entradas!$B$14&lt;G10," ",(1+C15)*(1+D15)*(1+E15)*(1+F15)*(1+G15))</f>
        <v>1.6105100000000008</v>
      </c>
      <c r="H16" s="25">
        <f>IF(Entradas!$B$14&lt;H10," ",(1+C15)*(1+D15)*(1+E15)*(1+F15)*(1+G15)*(1+H15))</f>
        <v>1.771561000000001</v>
      </c>
      <c r="I16" s="25">
        <f>IF(Entradas!$B$14&lt;I10," ",(1+C15)*(1+D15)*(1+E15)*(1+F15)*(1+G15)*(1+H15)*(1+I15))</f>
        <v>1.9487171000000014</v>
      </c>
      <c r="J16" s="25">
        <f>IF(Entradas!$B$14&lt;J10," ",(1+C15)*(1+D15)*(1+E15)*(1+F15)*(1+G15)*(1+H15)*(1+I15)*(1+J15))</f>
        <v>2.1435888100000016</v>
      </c>
      <c r="K16" s="25">
        <f>IF(Entradas!$B$14&lt;K10," ",(1+C15)*(1+D15)*(1+E15)*(1+F15)*(1+G15)*(1+H15)*(1+I15)*(1+J15)*(1+K15))</f>
        <v>2.357947691000002</v>
      </c>
      <c r="L16" s="25">
        <f>IF(Entradas!$B$14&lt;L10," ",(1+C15)*(1+D15)*(1+E15)*(1+F15)*(1+G15)*(1+H15)*(1+I15)*(1+J15)*(1+K15)*(1+L15))</f>
        <v>2.5937424601000023</v>
      </c>
      <c r="M16" s="25" t="str">
        <f>IF(Entradas!$B$14&lt;M10," ",(1+C15)*(1+D15)*(1+E15)*(1+F15)*(1+G15)*(1+H15)*(1+I15)*(1+J15)*(1+K15)*(1+L15)*(1+M15))</f>
        <v> </v>
      </c>
      <c r="N16" s="25" t="str">
        <f>IF(Entradas!$B$14&lt;N10," ",(1+C15)*(1+D15)*(1+E15)*(1+F15)*(1+G15)*(1+H15)*(1+I15)*(1+J15)*(1+K15)*(1+L15)*(1+M15)*(1+N15))</f>
        <v> </v>
      </c>
      <c r="O16" s="25" t="str">
        <f>IF(Entradas!$B$14&lt;O10," ",(1+C15)*(1+D15)*(1+E15)*(1+F15)*(1+G15)*(1+H15)*(1+I15)*(1+J15)*(1+K15)*(1+L15)*(1+M15)*(1+N15)*(1+O15))</f>
        <v> </v>
      </c>
      <c r="P16" s="25" t="str">
        <f>IF(Entradas!$B$14&lt;P10," ",(1+C15)*(1+D15)*(1+E15)*(1+F15)*(1+G15)*(1+H15)*(1+I15)*(1+J15)*(1+K15)*(1+L15)*(1+M15)*(1+N15)*(1+O15)*(1+P15))</f>
        <v> </v>
      </c>
      <c r="Q16" s="25" t="str">
        <f>IF(Entradas!$B$14&lt;Q10," ",(1+C15)*(1+D15)*(1+E15)*(1+F15)*(1+G15)*(1+H15)*(1+I15)*(1+J15)*(1+K15)*(1+L15)*(1+M15)*(1+N15)*(1+O15)*(1+P15)*(1+Q15))</f>
        <v> </v>
      </c>
    </row>
    <row r="17" spans="2:17" s="11" customFormat="1" ht="19.5" customHeight="1">
      <c r="B17" s="34" t="s">
        <v>168</v>
      </c>
      <c r="C17" s="56">
        <f>IF(Entradas!$B$14&lt;C10," ",C14/C16)</f>
        <v>0.005242471590909091</v>
      </c>
      <c r="D17" s="56">
        <f>IF(Entradas!$B$14&lt;D10," ",D14/D16)</f>
        <v>0.005266301007231404</v>
      </c>
      <c r="E17" s="56">
        <f>IF(Entradas!$B$14&lt;E10," ",E14/E16)</f>
        <v>0.005290238739082455</v>
      </c>
      <c r="F17" s="56">
        <f>IF(Entradas!$B$14&lt;F10," ",F14/F16)</f>
        <v>0.005314285278805556</v>
      </c>
      <c r="G17" s="56">
        <f>IF(Entradas!$B$14&lt;G10," ",G14/G16)</f>
        <v>0.005338441120981944</v>
      </c>
      <c r="H17" s="56">
        <f>IF(Entradas!$B$14&lt;H10," ",H14/H16)</f>
        <v>0.0053627067624409525</v>
      </c>
      <c r="I17" s="56">
        <f>IF(Entradas!$B$14&lt;I10," ",I14/I16)</f>
        <v>0.005387082702270229</v>
      </c>
      <c r="J17" s="56">
        <f>IF(Entradas!$B$14&lt;J10," ",J14/J16)</f>
        <v>0.005411569441826003</v>
      </c>
      <c r="K17" s="56">
        <f>IF(Entradas!$B$14&lt;K10," ",K14/K16)</f>
        <v>0.0054361674847433926</v>
      </c>
      <c r="L17" s="56">
        <f>IF(Entradas!$B$14&lt;L10," ",L14/L16)</f>
        <v>0.005460877336946772</v>
      </c>
      <c r="M17" s="33" t="str">
        <f>IF(Entradas!$B$14&lt;M10," ",M14/M16)</f>
        <v> </v>
      </c>
      <c r="N17" s="33" t="str">
        <f>IF(Entradas!$B$14&lt;N10," ",N14/N16)</f>
        <v> </v>
      </c>
      <c r="O17" s="33" t="str">
        <f>IF(Entradas!$B$14&lt;O10," ",O14/O16)</f>
        <v> </v>
      </c>
      <c r="P17" s="33" t="str">
        <f>IF(Entradas!$B$14&lt;P10," ",P14/P16)</f>
        <v> </v>
      </c>
      <c r="Q17" s="33" t="str">
        <f>IF(Entradas!$B$14&lt;Q10," ",Q14/Q16)</f>
        <v> </v>
      </c>
    </row>
    <row r="18" spans="2:7" ht="19.5" customHeight="1">
      <c r="B18" s="11"/>
      <c r="C18" s="11"/>
      <c r="D18" s="11"/>
      <c r="E18" s="13"/>
      <c r="F18" s="13"/>
      <c r="G18" s="11"/>
    </row>
    <row r="19" spans="2:6" ht="19.5" customHeight="1">
      <c r="B19" s="49" t="s">
        <v>178</v>
      </c>
      <c r="C19" s="11"/>
      <c r="D19" s="26">
        <f>Entradas!B32</f>
        <v>0.05</v>
      </c>
      <c r="E19" s="13"/>
      <c r="F19" s="11"/>
    </row>
    <row r="20" spans="2:6" ht="19.5" customHeight="1">
      <c r="B20" s="49" t="s">
        <v>179</v>
      </c>
      <c r="C20" s="11"/>
      <c r="D20" s="26">
        <f>IF(Entradas!B35="No",Entradas!B34,Entradas!B36)</f>
        <v>0.25</v>
      </c>
      <c r="E20" s="13"/>
      <c r="F20" s="11"/>
    </row>
    <row r="21" spans="2:6" ht="19.5" customHeight="1">
      <c r="B21" s="49" t="s">
        <v>169</v>
      </c>
      <c r="C21" s="11"/>
      <c r="D21" s="26">
        <f>IF(Entradas!B38="No",Entradas!B10+Entradas!B9*Entradas!B40,Entradas!B10+Entradas!B39*Entradas!B40)</f>
        <v>0.09999999999999999</v>
      </c>
      <c r="E21" s="13"/>
      <c r="F21" s="11"/>
    </row>
    <row r="22" spans="2:6" s="1" customFormat="1" ht="19.5" customHeight="1">
      <c r="B22" s="50" t="s">
        <v>170</v>
      </c>
      <c r="C22" s="23"/>
      <c r="D22" s="32">
        <f>IF(Entradas!B14=0,D5*D20*(1+D19)/(D21-D19),MAX(C12:Q12)*(1+D19)*D20/(D21-D19))</f>
        <v>0.2974462977829701</v>
      </c>
      <c r="E22" s="29"/>
      <c r="F22" s="23"/>
    </row>
    <row r="23" spans="2:7" ht="19.5" customHeight="1">
      <c r="B23" s="5"/>
      <c r="C23" s="5"/>
      <c r="D23" s="5"/>
      <c r="E23" s="6"/>
      <c r="F23" s="6"/>
      <c r="G23" s="5"/>
    </row>
    <row r="24" spans="2:5" s="43" customFormat="1" ht="19.5" customHeight="1">
      <c r="B24" s="62" t="s">
        <v>180</v>
      </c>
      <c r="E24" s="90">
        <f>SUM(C17:Q17)</f>
        <v>0.0535101414652378</v>
      </c>
    </row>
    <row r="25" spans="2:5" s="43" customFormat="1" ht="19.5" customHeight="1">
      <c r="B25" s="43" t="s">
        <v>171</v>
      </c>
      <c r="E25" s="90">
        <f>IF(Entradas!B14=0,valuation!D22,D22/MAX(C16:Q16))</f>
        <v>0.11467842407588223</v>
      </c>
    </row>
    <row r="26" spans="2:5" s="43" customFormat="1" ht="19.5" customHeight="1">
      <c r="B26" s="43" t="s">
        <v>172</v>
      </c>
      <c r="E26" s="90">
        <f>E24+E25</f>
        <v>0.16818856554112002</v>
      </c>
    </row>
    <row r="27" spans="2:7" ht="19.5" customHeight="1">
      <c r="B27" s="5"/>
      <c r="C27" s="5"/>
      <c r="D27" s="5"/>
      <c r="E27" s="6"/>
      <c r="F27" s="6"/>
      <c r="G27" s="5"/>
    </row>
    <row r="28" spans="2:7" ht="19.5" customHeight="1">
      <c r="B28" s="5"/>
      <c r="C28" s="5"/>
      <c r="D28" s="5"/>
      <c r="E28" s="6"/>
      <c r="F28" s="6"/>
      <c r="G28" s="5"/>
    </row>
    <row r="29" spans="2:7" s="11" customFormat="1" ht="19.5" customHeight="1">
      <c r="B29" s="10" t="s">
        <v>173</v>
      </c>
      <c r="C29" s="5"/>
      <c r="D29" s="5"/>
      <c r="E29" s="6"/>
      <c r="F29" s="6"/>
      <c r="G29" s="5"/>
    </row>
    <row r="30" spans="2:5" s="11" customFormat="1" ht="19.5" customHeight="1">
      <c r="B30" s="11" t="s">
        <v>217</v>
      </c>
      <c r="D30" s="92">
        <f>'[1]Inputs'!B5/D21</f>
        <v>0.0067800000000000004</v>
      </c>
      <c r="E30" s="13"/>
    </row>
    <row r="31" spans="2:5" s="11" customFormat="1" ht="19.5" customHeight="1">
      <c r="B31" s="11" t="s">
        <v>214</v>
      </c>
      <c r="D31" s="33">
        <f>'[1]Inputs'!B5*(1+D19)/(D21-D19)-D30</f>
        <v>0.007458000000000004</v>
      </c>
      <c r="E31" s="13"/>
    </row>
    <row r="32" spans="2:5" s="11" customFormat="1" ht="19.5" customHeight="1">
      <c r="B32" s="49" t="s">
        <v>215</v>
      </c>
      <c r="D32" s="33">
        <f>E26-D31-D30</f>
        <v>0.15395056554112002</v>
      </c>
      <c r="E32" s="13"/>
    </row>
    <row r="33" spans="2:5" s="11" customFormat="1" ht="19.5" customHeight="1">
      <c r="B33" s="11" t="s">
        <v>174</v>
      </c>
      <c r="D33" s="93">
        <f>SUM(D30:D32)</f>
        <v>0.16818856554112002</v>
      </c>
      <c r="E33" s="13"/>
    </row>
    <row r="36" spans="2:4" ht="12.75">
      <c r="B36" t="s">
        <v>248</v>
      </c>
      <c r="D36" s="54">
        <v>0.08</v>
      </c>
    </row>
    <row r="38" spans="2:4" ht="12.75">
      <c r="B38" t="s">
        <v>247</v>
      </c>
      <c r="D38" s="55">
        <f>(D33-D36)/D36</f>
        <v>1.1023570692640001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  <headerFooter alignWithMargins="0">
    <oddHeader>&amp;C Two-Stage Dividend Discount Model</oddHeader>
    <oddFooter>&amp;CPage &amp;P</oddFooter>
  </headerFooter>
  <rowBreaks count="4" manualBreakCount="4">
    <brk id="19" max="65535" man="1"/>
    <brk id="72" max="65535" man="1"/>
    <brk id="80" max="65535" man="1"/>
    <brk id="107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F130"/>
  <sheetViews>
    <sheetView zoomScalePageLayoutView="0" workbookViewId="0" topLeftCell="A80">
      <selection activeCell="C104" sqref="C104"/>
    </sheetView>
  </sheetViews>
  <sheetFormatPr defaultColWidth="11.375" defaultRowHeight="12.75"/>
  <cols>
    <col min="1" max="1" width="19.375" style="11" bestFit="1" customWidth="1"/>
    <col min="2" max="2" width="12.125" style="13" customWidth="1"/>
    <col min="3" max="3" width="12.875" style="13" customWidth="1"/>
    <col min="4" max="4" width="13.375" style="13" customWidth="1"/>
    <col min="5" max="5" width="16.125" style="13" customWidth="1"/>
    <col min="6" max="6" width="7.875" style="13" bestFit="1" customWidth="1"/>
  </cols>
  <sheetData>
    <row r="1" spans="1:6" s="37" customFormat="1" ht="12.75">
      <c r="A1" s="16" t="s">
        <v>0</v>
      </c>
      <c r="B1" s="27" t="s">
        <v>34</v>
      </c>
      <c r="C1" s="27" t="s">
        <v>35</v>
      </c>
      <c r="D1" s="27" t="s">
        <v>1</v>
      </c>
      <c r="E1" s="27" t="s">
        <v>2</v>
      </c>
      <c r="F1" s="45" t="s">
        <v>3</v>
      </c>
    </row>
    <row r="2" spans="1:6" s="11" customFormat="1" ht="12.75">
      <c r="A2" s="11" t="s">
        <v>4</v>
      </c>
      <c r="B2" s="46">
        <v>1.535625</v>
      </c>
      <c r="C2" s="46">
        <v>1.3621882849300875</v>
      </c>
      <c r="D2" s="28">
        <v>0.006042754357256032</v>
      </c>
      <c r="E2" s="28">
        <v>0.2238357921744708</v>
      </c>
      <c r="F2" s="28">
        <v>0.072258220009826</v>
      </c>
    </row>
    <row r="3" spans="1:6" s="11" customFormat="1" ht="12.75">
      <c r="A3" s="11" t="s">
        <v>5</v>
      </c>
      <c r="B3" s="46">
        <v>0.7766666666666666</v>
      </c>
      <c r="C3" s="46">
        <v>0.6311488961207117</v>
      </c>
      <c r="D3" s="28">
        <v>0.01360900572475118</v>
      </c>
      <c r="E3" s="28">
        <v>0.3320454987361462</v>
      </c>
      <c r="F3" s="28">
        <v>0.10778149922078319</v>
      </c>
    </row>
    <row r="4" spans="1:6" s="11" customFormat="1" ht="12.75">
      <c r="A4" s="11" t="s">
        <v>6</v>
      </c>
      <c r="B4" s="46">
        <v>1.1522857142857141</v>
      </c>
      <c r="C4" s="46">
        <v>0.673143987542952</v>
      </c>
      <c r="D4" s="28">
        <v>0.0033815074545822344</v>
      </c>
      <c r="E4" s="28">
        <v>0.9061507370423203</v>
      </c>
      <c r="F4" s="28">
        <v>0.005264890590165946</v>
      </c>
    </row>
    <row r="5" spans="1:6" s="11" customFormat="1" ht="12.75">
      <c r="A5" s="11" t="s">
        <v>7</v>
      </c>
      <c r="B5" s="46">
        <v>0.8205128205128207</v>
      </c>
      <c r="C5" s="46">
        <v>0.7511886086582393</v>
      </c>
      <c r="D5" s="28">
        <v>0.009460551697418985</v>
      </c>
      <c r="E5" s="28">
        <v>0.24471091241861437</v>
      </c>
      <c r="F5" s="28">
        <v>0.13933703181896093</v>
      </c>
    </row>
    <row r="6" spans="1:6" s="11" customFormat="1" ht="12.75">
      <c r="A6" s="11" t="s">
        <v>8</v>
      </c>
      <c r="B6" s="46">
        <v>0.9705882352941179</v>
      </c>
      <c r="C6" s="46">
        <v>0.42452432547904556</v>
      </c>
      <c r="D6" s="28">
        <v>0.008001821150923545</v>
      </c>
      <c r="E6" s="28">
        <v>0.15069401922269848</v>
      </c>
      <c r="F6" s="28">
        <v>0.08442475907412672</v>
      </c>
    </row>
    <row r="7" spans="1:6" s="11" customFormat="1" ht="12.75">
      <c r="A7" s="11" t="s">
        <v>9</v>
      </c>
      <c r="B7" s="46">
        <v>0.8326530612244896</v>
      </c>
      <c r="C7" s="46">
        <v>0.5613901246075278</v>
      </c>
      <c r="D7" s="28">
        <v>0.008409545556699288</v>
      </c>
      <c r="E7" s="28">
        <v>0.1370276379637723</v>
      </c>
      <c r="F7" s="28">
        <v>0.10397762439379814</v>
      </c>
    </row>
    <row r="8" spans="1:6" s="11" customFormat="1" ht="12.75">
      <c r="A8" s="11" t="s">
        <v>10</v>
      </c>
      <c r="B8" s="46">
        <v>0.6614785992217898</v>
      </c>
      <c r="C8" s="46">
        <v>0.5738745588560478</v>
      </c>
      <c r="D8" s="28">
        <v>0.015464948988576047</v>
      </c>
      <c r="E8" s="28">
        <v>0.5522713236018792</v>
      </c>
      <c r="F8" s="28">
        <v>0.12089747366261</v>
      </c>
    </row>
    <row r="9" spans="1:6" s="11" customFormat="1" ht="12.75">
      <c r="A9" s="11" t="s">
        <v>11</v>
      </c>
      <c r="B9" s="46">
        <v>0.9214285714285715</v>
      </c>
      <c r="C9" s="46">
        <v>0.873975480350701</v>
      </c>
      <c r="D9" s="28">
        <v>0.013410504224521499</v>
      </c>
      <c r="E9" s="28">
        <v>0.33038869329653714</v>
      </c>
      <c r="F9" s="28">
        <v>0.15383498805199994</v>
      </c>
    </row>
    <row r="10" spans="1:6" s="11" customFormat="1" ht="12.75">
      <c r="A10" s="11" t="s">
        <v>12</v>
      </c>
      <c r="B10" s="46">
        <v>1.025</v>
      </c>
      <c r="C10" s="46">
        <v>0.7146271213943528</v>
      </c>
      <c r="D10" s="28">
        <v>0.013913578617944618</v>
      </c>
      <c r="E10" s="28">
        <v>0.41305505142165755</v>
      </c>
      <c r="F10" s="28">
        <v>0.13601160171557283</v>
      </c>
    </row>
    <row r="11" spans="1:6" s="11" customFormat="1" ht="12.75">
      <c r="A11" s="11" t="s">
        <v>13</v>
      </c>
      <c r="B11" s="46">
        <v>0.75</v>
      </c>
      <c r="C11" s="46">
        <v>0.6833530478330361</v>
      </c>
      <c r="D11" s="28">
        <v>0.013390725795574836</v>
      </c>
      <c r="E11" s="28">
        <v>0.4429209922868459</v>
      </c>
      <c r="F11" s="28">
        <v>0.16081342022688871</v>
      </c>
    </row>
    <row r="12" spans="1:6" s="11" customFormat="1" ht="12.75">
      <c r="A12" s="11" t="s">
        <v>14</v>
      </c>
      <c r="B12" s="46">
        <v>0.5857142857142857</v>
      </c>
      <c r="C12" s="46">
        <v>0.5375135223389118</v>
      </c>
      <c r="D12" s="28">
        <v>0.006062303814725362</v>
      </c>
      <c r="E12" s="28">
        <v>0.14529354421231322</v>
      </c>
      <c r="F12" s="28">
        <v>0.2425864691084192</v>
      </c>
    </row>
    <row r="13" spans="1:6" s="11" customFormat="1" ht="12.75">
      <c r="A13" s="11" t="s">
        <v>15</v>
      </c>
      <c r="B13" s="46">
        <v>0.6730769230769232</v>
      </c>
      <c r="C13" s="46">
        <v>0.6261336875170223</v>
      </c>
      <c r="D13" s="28">
        <v>0.00724441411223691</v>
      </c>
      <c r="E13" s="28">
        <v>0.2509738613220398</v>
      </c>
      <c r="F13" s="28">
        <v>0.22149793343679844</v>
      </c>
    </row>
    <row r="14" spans="1:6" s="11" customFormat="1" ht="12.75">
      <c r="A14" s="11" t="s">
        <v>16</v>
      </c>
      <c r="B14" s="46">
        <v>1.1159999999999999</v>
      </c>
      <c r="C14" s="46">
        <v>1.2951846195205932</v>
      </c>
      <c r="D14" s="28">
        <v>0</v>
      </c>
      <c r="E14" s="28">
        <v>0</v>
      </c>
      <c r="F14" s="28">
        <v>0.015141082744312783</v>
      </c>
    </row>
    <row r="15" spans="1:6" s="11" customFormat="1" ht="12.75">
      <c r="A15" s="11" t="s">
        <v>17</v>
      </c>
      <c r="B15" s="46">
        <v>0.818918918918919</v>
      </c>
      <c r="C15" s="46">
        <v>0.7092575805250052</v>
      </c>
      <c r="D15" s="28">
        <v>0.007426834014101554</v>
      </c>
      <c r="E15" s="28">
        <v>0.12635084060993093</v>
      </c>
      <c r="F15" s="28">
        <v>0.14594055865581765</v>
      </c>
    </row>
    <row r="16" spans="1:6" s="11" customFormat="1" ht="12.75">
      <c r="A16" s="11" t="s">
        <v>18</v>
      </c>
      <c r="B16" s="46">
        <v>1.3582352941176468</v>
      </c>
      <c r="C16" s="46">
        <v>0.7159393355158076</v>
      </c>
      <c r="D16" s="28">
        <v>9.301592838696247E-05</v>
      </c>
      <c r="E16" s="28" t="s">
        <v>19</v>
      </c>
      <c r="F16" s="28">
        <v>-0.06498112270207755</v>
      </c>
    </row>
    <row r="17" spans="1:6" s="11" customFormat="1" ht="12.75">
      <c r="A17" s="11" t="s">
        <v>20</v>
      </c>
      <c r="B17" s="46">
        <v>0.740909090909091</v>
      </c>
      <c r="C17" s="46">
        <v>0.6455264563209021</v>
      </c>
      <c r="D17" s="28">
        <v>0.006062547503156537</v>
      </c>
      <c r="E17" s="28">
        <v>0.07435448277961253</v>
      </c>
      <c r="F17" s="28">
        <v>0.23768389600899992</v>
      </c>
    </row>
    <row r="18" spans="1:6" s="11" customFormat="1" ht="12.75">
      <c r="A18" s="11" t="s">
        <v>21</v>
      </c>
      <c r="B18" s="46">
        <v>0.7272727272727272</v>
      </c>
      <c r="C18" s="46">
        <v>0.5743449883857253</v>
      </c>
      <c r="D18" s="28">
        <v>0.00838003922423186</v>
      </c>
      <c r="E18" s="28">
        <v>0.12227662957074723</v>
      </c>
      <c r="F18" s="28">
        <v>0.11477096896622194</v>
      </c>
    </row>
    <row r="19" spans="1:6" s="11" customFormat="1" ht="12.75">
      <c r="A19" s="11" t="s">
        <v>22</v>
      </c>
      <c r="B19" s="46">
        <v>0.8571428571428571</v>
      </c>
      <c r="C19" s="46">
        <v>0.6661269269605283</v>
      </c>
      <c r="D19" s="28">
        <v>0.017767934946794177</v>
      </c>
      <c r="E19" s="28">
        <v>0.2964213715179854</v>
      </c>
      <c r="F19" s="28">
        <v>0.11437662647117278</v>
      </c>
    </row>
    <row r="20" spans="1:6" s="11" customFormat="1" ht="12.75">
      <c r="A20" s="11" t="s">
        <v>23</v>
      </c>
      <c r="B20" s="46">
        <v>0.7733333333333333</v>
      </c>
      <c r="C20" s="46">
        <v>0.6829424060766646</v>
      </c>
      <c r="D20" s="28">
        <v>0.007713258801962367</v>
      </c>
      <c r="E20" s="28">
        <v>0.17153666819314517</v>
      </c>
      <c r="F20" s="28">
        <v>0.17954538902052658</v>
      </c>
    </row>
    <row r="21" spans="1:6" s="11" customFormat="1" ht="12.75">
      <c r="A21" s="11" t="s">
        <v>24</v>
      </c>
      <c r="B21" s="46">
        <v>0.7933823529411766</v>
      </c>
      <c r="C21" s="46">
        <v>0.5936779184368961</v>
      </c>
      <c r="D21" s="28">
        <v>0.007879333867599876</v>
      </c>
      <c r="E21" s="28">
        <v>0.18496834670529075</v>
      </c>
      <c r="F21" s="28">
        <v>0.10296130845161755</v>
      </c>
    </row>
    <row r="22" spans="1:6" s="11" customFormat="1" ht="12.75">
      <c r="A22" s="11" t="s">
        <v>25</v>
      </c>
      <c r="B22" s="46">
        <v>0.8</v>
      </c>
      <c r="C22" s="46">
        <v>0.6161157354883963</v>
      </c>
      <c r="D22" s="28">
        <v>0.011123436312115556</v>
      </c>
      <c r="E22" s="28">
        <v>0.3292150345180261</v>
      </c>
      <c r="F22" s="28">
        <v>0.08976359880651825</v>
      </c>
    </row>
    <row r="23" spans="1:6" s="11" customFormat="1" ht="12.75">
      <c r="A23" s="11" t="s">
        <v>26</v>
      </c>
      <c r="B23" s="46">
        <v>1.6461052631578947</v>
      </c>
      <c r="C23" s="46">
        <v>1.6659073935787478</v>
      </c>
      <c r="D23" s="28">
        <v>0.0021824882626506185</v>
      </c>
      <c r="E23" s="28">
        <v>0.04849777635972315</v>
      </c>
      <c r="F23" s="28">
        <v>0.14874917256797432</v>
      </c>
    </row>
    <row r="24" spans="1:6" s="11" customFormat="1" ht="12.75">
      <c r="A24" s="11" t="s">
        <v>27</v>
      </c>
      <c r="B24" s="46">
        <v>1.7871910112359546</v>
      </c>
      <c r="C24" s="46">
        <v>1.9115311659514653</v>
      </c>
      <c r="D24" s="28">
        <v>0.0011530595462299223</v>
      </c>
      <c r="E24" s="28">
        <v>0.04955363529423731</v>
      </c>
      <c r="F24" s="28">
        <v>0.09962831430998349</v>
      </c>
    </row>
    <row r="25" spans="1:6" s="11" customFormat="1" ht="12.75">
      <c r="A25" s="11" t="s">
        <v>28</v>
      </c>
      <c r="B25" s="46">
        <v>0.8238095238095235</v>
      </c>
      <c r="C25" s="46">
        <v>0.6798021982996485</v>
      </c>
      <c r="D25" s="28">
        <v>0.00684087552596281</v>
      </c>
      <c r="E25" s="28">
        <v>0.11238542153144905</v>
      </c>
      <c r="F25" s="28">
        <v>0.12510844243015748</v>
      </c>
    </row>
    <row r="26" spans="1:6" s="11" customFormat="1" ht="12.75">
      <c r="A26" s="11" t="s">
        <v>29</v>
      </c>
      <c r="B26" s="46">
        <v>1.1270270270270266</v>
      </c>
      <c r="C26" s="46">
        <v>1.1534982821194724</v>
      </c>
      <c r="D26" s="28">
        <v>0.008811191564505768</v>
      </c>
      <c r="E26" s="28">
        <v>0.21322866572371502</v>
      </c>
      <c r="F26" s="28">
        <v>0.24287983526687626</v>
      </c>
    </row>
    <row r="27" spans="1:6" s="11" customFormat="1" ht="12.75">
      <c r="A27" s="11" t="s">
        <v>30</v>
      </c>
      <c r="B27" s="46">
        <v>3.345238095238096</v>
      </c>
      <c r="C27" s="46">
        <v>3.9565473793609724</v>
      </c>
      <c r="D27" s="28">
        <v>0</v>
      </c>
      <c r="E27" s="28" t="s">
        <v>19</v>
      </c>
      <c r="F27" s="28">
        <v>-0.1894754309947451</v>
      </c>
    </row>
    <row r="28" spans="1:6" s="11" customFormat="1" ht="12.75">
      <c r="A28" s="11" t="s">
        <v>31</v>
      </c>
      <c r="B28" s="46">
        <v>0.9547368421052632</v>
      </c>
      <c r="C28" s="46">
        <v>1.019972734347241</v>
      </c>
      <c r="D28" s="28">
        <v>6.0917273561512784E-05</v>
      </c>
      <c r="E28" s="28">
        <v>0.008250850018889309</v>
      </c>
      <c r="F28" s="28">
        <v>0.039202618444632034</v>
      </c>
    </row>
    <row r="29" spans="1:6" s="11" customFormat="1" ht="12.75">
      <c r="A29" s="11" t="s">
        <v>32</v>
      </c>
      <c r="B29" s="46">
        <v>0.5479999999999999</v>
      </c>
      <c r="C29" s="46">
        <v>0.2802787044211547</v>
      </c>
      <c r="D29" s="28">
        <v>0.02990428758778118</v>
      </c>
      <c r="E29" s="28">
        <v>0.37214503064027604</v>
      </c>
      <c r="F29" s="28">
        <v>0.10460113862505903</v>
      </c>
    </row>
    <row r="30" spans="1:6" s="11" customFormat="1" ht="12.75">
      <c r="A30" s="11" t="s">
        <v>33</v>
      </c>
      <c r="B30" s="46">
        <v>0.5769230769230769</v>
      </c>
      <c r="C30" s="46">
        <v>0.35411147943066434</v>
      </c>
      <c r="D30" s="28">
        <v>0.023506790182840086</v>
      </c>
      <c r="E30" s="28">
        <v>0.30523923761935856</v>
      </c>
      <c r="F30" s="28">
        <v>0.1327046536861776</v>
      </c>
    </row>
    <row r="31" spans="1:6" s="11" customFormat="1" ht="12.75">
      <c r="A31" s="11" t="s">
        <v>77</v>
      </c>
      <c r="B31" s="46">
        <v>0.5857142857142856</v>
      </c>
      <c r="C31" s="46">
        <v>0.2795590546384853</v>
      </c>
      <c r="D31" s="28">
        <v>0.02010565372253177</v>
      </c>
      <c r="E31" s="28">
        <v>1.2818154342131773</v>
      </c>
      <c r="F31" s="28">
        <v>0.019039434993353654</v>
      </c>
    </row>
    <row r="32" spans="1:6" s="11" customFormat="1" ht="12.75">
      <c r="A32" s="11" t="s">
        <v>78</v>
      </c>
      <c r="B32" s="46">
        <v>1.1876119402985075</v>
      </c>
      <c r="C32" s="46">
        <v>1.1806083396010008</v>
      </c>
      <c r="D32" s="28">
        <v>0.012659901817289279</v>
      </c>
      <c r="E32" s="28">
        <v>0.24336947552076582</v>
      </c>
      <c r="F32" s="28">
        <v>0.20046093703382709</v>
      </c>
    </row>
    <row r="33" spans="1:6" s="11" customFormat="1" ht="12.75">
      <c r="A33" s="11" t="s">
        <v>79</v>
      </c>
      <c r="B33" s="46">
        <v>1.2032283464566926</v>
      </c>
      <c r="C33" s="46">
        <v>1.124533271862832</v>
      </c>
      <c r="D33" s="28">
        <v>0.0009341411565164808</v>
      </c>
      <c r="E33" s="28">
        <v>0.024374524526179987</v>
      </c>
      <c r="F33" s="28">
        <v>0.04673682420551032</v>
      </c>
    </row>
    <row r="34" spans="1:6" s="11" customFormat="1" ht="12.75">
      <c r="A34" s="11" t="s">
        <v>80</v>
      </c>
      <c r="B34" s="46">
        <v>1.3041666666666665</v>
      </c>
      <c r="C34" s="46">
        <v>1.0514246132932956</v>
      </c>
      <c r="D34" s="28">
        <v>0.000907200291961968</v>
      </c>
      <c r="E34" s="28" t="s">
        <v>19</v>
      </c>
      <c r="F34" s="28">
        <v>-0.01857300550414323</v>
      </c>
    </row>
    <row r="35" spans="1:6" s="11" customFormat="1" ht="12.75">
      <c r="A35" s="11" t="s">
        <v>81</v>
      </c>
      <c r="B35" s="46">
        <v>1.68</v>
      </c>
      <c r="C35" s="46">
        <v>1.6690263177899978</v>
      </c>
      <c r="D35" s="28">
        <v>4.504206133668941E-05</v>
      </c>
      <c r="E35" s="28" t="s">
        <v>19</v>
      </c>
      <c r="F35" s="28">
        <v>-0.08109291662767848</v>
      </c>
    </row>
    <row r="36" spans="1:6" s="11" customFormat="1" ht="12.75">
      <c r="A36" s="11" t="s">
        <v>82</v>
      </c>
      <c r="B36" s="46">
        <v>0.71875</v>
      </c>
      <c r="C36" s="46">
        <v>0.4273863746099751</v>
      </c>
      <c r="D36" s="28">
        <v>0.0005815906842113036</v>
      </c>
      <c r="E36" s="28">
        <v>0.013229057316817132</v>
      </c>
      <c r="F36" s="28">
        <v>0.11189944790320686</v>
      </c>
    </row>
    <row r="37" spans="1:6" s="11" customFormat="1" ht="12.75">
      <c r="A37" s="11" t="s">
        <v>83</v>
      </c>
      <c r="B37" s="46">
        <v>0.9295731707317071</v>
      </c>
      <c r="C37" s="46">
        <v>0.6288489274390108</v>
      </c>
      <c r="D37" s="28">
        <v>0.0068339068705806786</v>
      </c>
      <c r="E37" s="28">
        <v>0.23329553177734302</v>
      </c>
      <c r="F37" s="28">
        <v>0.1565828262699189</v>
      </c>
    </row>
    <row r="38" spans="1:6" s="11" customFormat="1" ht="12.75">
      <c r="A38" s="11" t="s">
        <v>84</v>
      </c>
      <c r="B38" s="46">
        <v>0.6253164556962026</v>
      </c>
      <c r="C38" s="46">
        <v>0.48711645129417885</v>
      </c>
      <c r="D38" s="28">
        <v>0.009661334887799248</v>
      </c>
      <c r="E38" s="28">
        <v>0.21044148655370126</v>
      </c>
      <c r="F38" s="28">
        <v>0.18790294281566292</v>
      </c>
    </row>
    <row r="39" spans="1:6" s="11" customFormat="1" ht="12.75">
      <c r="A39" s="11" t="s">
        <v>85</v>
      </c>
      <c r="B39" s="46">
        <v>0.7</v>
      </c>
      <c r="C39" s="46">
        <v>0.6165242259482342</v>
      </c>
      <c r="D39" s="28">
        <v>0.004894364352532473</v>
      </c>
      <c r="E39" s="28">
        <v>0.134691160569472</v>
      </c>
      <c r="F39" s="28">
        <v>0.16440933450366468</v>
      </c>
    </row>
    <row r="40" spans="1:6" s="11" customFormat="1" ht="12.75">
      <c r="A40" s="11" t="s">
        <v>86</v>
      </c>
      <c r="B40" s="46">
        <v>1.063076923076923</v>
      </c>
      <c r="C40" s="46">
        <v>1.0351321968217357</v>
      </c>
      <c r="D40" s="28">
        <v>0.0026746534448209972</v>
      </c>
      <c r="E40" s="28">
        <v>0.09263593409158598</v>
      </c>
      <c r="F40" s="28">
        <v>0.04429544559115325</v>
      </c>
    </row>
    <row r="41" spans="1:6" s="11" customFormat="1" ht="12.75">
      <c r="A41" s="11" t="s">
        <v>87</v>
      </c>
      <c r="B41" s="46">
        <v>1.566842105263158</v>
      </c>
      <c r="C41" s="46">
        <v>1.1608083766540378</v>
      </c>
      <c r="D41" s="28">
        <v>0.011918367662363772</v>
      </c>
      <c r="E41" s="28" t="s">
        <v>19</v>
      </c>
      <c r="F41" s="28">
        <v>-0.012394417181602758</v>
      </c>
    </row>
    <row r="42" spans="1:6" s="11" customFormat="1" ht="12.75">
      <c r="A42" s="11" t="s">
        <v>88</v>
      </c>
      <c r="B42" s="46">
        <v>0.81</v>
      </c>
      <c r="C42" s="46">
        <v>0.7303478212467637</v>
      </c>
      <c r="D42" s="28">
        <v>0.006179257289307845</v>
      </c>
      <c r="E42" s="28">
        <v>0.11106286480517431</v>
      </c>
      <c r="F42" s="28">
        <v>0.12886765602764788</v>
      </c>
    </row>
    <row r="43" spans="1:6" s="11" customFormat="1" ht="12.75">
      <c r="A43" s="11" t="s">
        <v>89</v>
      </c>
      <c r="B43" s="46">
        <v>0.658695652173913</v>
      </c>
      <c r="C43" s="46">
        <v>0.4671708171206906</v>
      </c>
      <c r="D43" s="28">
        <v>0.005793214583972652</v>
      </c>
      <c r="E43" s="28">
        <v>0.0865863064337627</v>
      </c>
      <c r="F43" s="28">
        <v>0.13455751859152681</v>
      </c>
    </row>
    <row r="44" spans="1:6" s="11" customFormat="1" ht="12.75">
      <c r="A44" s="11" t="s">
        <v>90</v>
      </c>
      <c r="B44" s="46">
        <v>1.049642857142857</v>
      </c>
      <c r="C44" s="46">
        <v>1.172953541100369</v>
      </c>
      <c r="D44" s="28">
        <v>0.0007726214108195132</v>
      </c>
      <c r="E44" s="28" t="s">
        <v>19</v>
      </c>
      <c r="F44" s="28">
        <v>-0.3365380717127782</v>
      </c>
    </row>
    <row r="45" spans="1:6" s="11" customFormat="1" ht="12.75">
      <c r="A45" s="11" t="s">
        <v>91</v>
      </c>
      <c r="B45" s="46">
        <v>0.9636363636363636</v>
      </c>
      <c r="C45" s="46">
        <v>0.8056250141157077</v>
      </c>
      <c r="D45" s="28">
        <v>0.008041103479240065</v>
      </c>
      <c r="E45" s="28">
        <v>0.1253060994188343</v>
      </c>
      <c r="F45" s="28">
        <v>0.17518212100544633</v>
      </c>
    </row>
    <row r="46" spans="1:6" s="11" customFormat="1" ht="12.75">
      <c r="A46" s="11" t="s">
        <v>92</v>
      </c>
      <c r="B46" s="46">
        <v>0.8119565217391305</v>
      </c>
      <c r="C46" s="46">
        <v>0.5877040526112659</v>
      </c>
      <c r="D46" s="28">
        <v>0.006328180016605356</v>
      </c>
      <c r="E46" s="28">
        <v>0.08756196961057255</v>
      </c>
      <c r="F46" s="28">
        <v>0.17099120180781627</v>
      </c>
    </row>
    <row r="47" spans="1:6" s="11" customFormat="1" ht="12.75">
      <c r="A47" s="11" t="s">
        <v>93</v>
      </c>
      <c r="B47" s="46">
        <v>0.8973214285714287</v>
      </c>
      <c r="C47" s="46">
        <v>0.5467616091297867</v>
      </c>
      <c r="D47" s="28">
        <v>0.0012107192291929262</v>
      </c>
      <c r="E47" s="28">
        <v>0.028566815063494382</v>
      </c>
      <c r="F47" s="28">
        <v>0.08347116248610287</v>
      </c>
    </row>
    <row r="48" spans="1:6" s="11" customFormat="1" ht="12.75">
      <c r="A48" s="11" t="s">
        <v>94</v>
      </c>
      <c r="B48" s="46">
        <v>0.7574074074074075</v>
      </c>
      <c r="C48" s="46">
        <v>0.7014956535724528</v>
      </c>
      <c r="D48" s="28">
        <v>0.008587451949113365</v>
      </c>
      <c r="E48" s="28">
        <v>0.19912918735360371</v>
      </c>
      <c r="F48" s="28">
        <v>0.35460448923791055</v>
      </c>
    </row>
    <row r="49" spans="1:6" s="11" customFormat="1" ht="12.75">
      <c r="A49" s="11" t="s">
        <v>95</v>
      </c>
      <c r="B49" s="46">
        <v>1.1053333333333335</v>
      </c>
      <c r="C49" s="46">
        <v>1.1772822857532885</v>
      </c>
      <c r="D49" s="28">
        <v>0.0015666868777749526</v>
      </c>
      <c r="E49" s="28">
        <v>0.04715925816897262</v>
      </c>
      <c r="F49" s="28">
        <v>0.07560481627384212</v>
      </c>
    </row>
    <row r="50" spans="1:6" s="11" customFormat="1" ht="12.75">
      <c r="A50" s="11" t="s">
        <v>96</v>
      </c>
      <c r="B50" s="46">
        <v>0.8652499999999996</v>
      </c>
      <c r="C50" s="46">
        <v>0.726415746495858</v>
      </c>
      <c r="D50" s="28">
        <v>0.004373859888283801</v>
      </c>
      <c r="E50" s="28">
        <v>0.1678733168286939</v>
      </c>
      <c r="F50" s="28">
        <v>0.06090226255159923</v>
      </c>
    </row>
    <row r="51" spans="1:6" s="11" customFormat="1" ht="12.75">
      <c r="A51" s="11" t="s">
        <v>97</v>
      </c>
      <c r="B51" s="46">
        <v>1.1125</v>
      </c>
      <c r="C51" s="46">
        <v>1.0383319060037703</v>
      </c>
      <c r="D51" s="28">
        <v>0.0004133931809442583</v>
      </c>
      <c r="E51" s="28">
        <v>0.020435115535336248</v>
      </c>
      <c r="F51" s="28">
        <v>0.111430665140838</v>
      </c>
    </row>
    <row r="52" spans="1:6" s="11" customFormat="1" ht="12.75">
      <c r="A52" s="11" t="s">
        <v>36</v>
      </c>
      <c r="B52" s="46" t="e">
        <v>#DIV/0!</v>
      </c>
      <c r="C52" s="46" t="e">
        <v>#DIV/0!</v>
      </c>
      <c r="D52" s="28">
        <v>0</v>
      </c>
      <c r="E52" s="28">
        <v>0</v>
      </c>
      <c r="F52" s="28">
        <v>0.45945945945945943</v>
      </c>
    </row>
    <row r="53" spans="1:6" s="11" customFormat="1" ht="12.75">
      <c r="A53" s="11" t="s">
        <v>98</v>
      </c>
      <c r="B53" s="46">
        <v>0.8465517241379309</v>
      </c>
      <c r="C53" s="46">
        <v>0.897712121420503</v>
      </c>
      <c r="D53" s="28">
        <v>0.008621767756274984</v>
      </c>
      <c r="E53" s="28">
        <v>0.38689065038798537</v>
      </c>
      <c r="F53" s="28">
        <v>0.060439383941018984</v>
      </c>
    </row>
    <row r="54" spans="1:6" s="11" customFormat="1" ht="12.75">
      <c r="A54" s="11" t="s">
        <v>99</v>
      </c>
      <c r="B54" s="46">
        <v>0.8219999999999998</v>
      </c>
      <c r="C54" s="46">
        <v>0.8370723528982419</v>
      </c>
      <c r="D54" s="28">
        <v>0.009115922232415858</v>
      </c>
      <c r="E54" s="28">
        <v>1.2143257638115528</v>
      </c>
      <c r="F54" s="28">
        <v>0.02276974368190052</v>
      </c>
    </row>
    <row r="55" spans="1:6" s="11" customFormat="1" ht="12.75">
      <c r="A55" s="11" t="s">
        <v>100</v>
      </c>
      <c r="B55" s="46">
        <v>2.5955421686746987</v>
      </c>
      <c r="C55" s="46">
        <v>3.413417958637378</v>
      </c>
      <c r="D55" s="28">
        <v>0.0001470150701265903</v>
      </c>
      <c r="E55" s="28" t="s">
        <v>19</v>
      </c>
      <c r="F55" s="28">
        <v>-0.38266886661992644</v>
      </c>
    </row>
    <row r="56" spans="1:6" s="11" customFormat="1" ht="12.75">
      <c r="A56" s="11" t="s">
        <v>101</v>
      </c>
      <c r="B56" s="46">
        <v>0.6108695652173912</v>
      </c>
      <c r="C56" s="46">
        <v>0.4721353149917777</v>
      </c>
      <c r="D56" s="28">
        <v>0.027028306180030947</v>
      </c>
      <c r="E56" s="28">
        <v>1.7782035928143713</v>
      </c>
      <c r="F56" s="28">
        <v>0.044144858577848264</v>
      </c>
    </row>
    <row r="57" spans="1:6" s="11" customFormat="1" ht="12.75">
      <c r="A57" s="11" t="s">
        <v>102</v>
      </c>
      <c r="B57" s="46">
        <v>1.10125</v>
      </c>
      <c r="C57" s="46">
        <v>1.1097226184301523</v>
      </c>
      <c r="D57" s="28">
        <v>0.007823625289525606</v>
      </c>
      <c r="E57" s="28">
        <v>0.829090909090909</v>
      </c>
      <c r="F57" s="28">
        <v>0.015324602953468934</v>
      </c>
    </row>
    <row r="58" spans="1:6" s="11" customFormat="1" ht="12.75">
      <c r="A58" s="11" t="s">
        <v>103</v>
      </c>
      <c r="B58" s="46">
        <v>0.7865217391304351</v>
      </c>
      <c r="C58" s="46">
        <v>0.5607844974088826</v>
      </c>
      <c r="D58" s="28">
        <v>0.009661151773361278</v>
      </c>
      <c r="E58" s="28">
        <v>0.22129823648077032</v>
      </c>
      <c r="F58" s="28">
        <v>0.09052084683262458</v>
      </c>
    </row>
    <row r="59" spans="1:6" s="11" customFormat="1" ht="12.75">
      <c r="A59" s="11" t="s">
        <v>104</v>
      </c>
      <c r="B59" s="46">
        <v>0.8194444444444443</v>
      </c>
      <c r="C59" s="46">
        <v>0.7400824689591331</v>
      </c>
      <c r="D59" s="28">
        <v>0.0021010720483015995</v>
      </c>
      <c r="E59" s="28">
        <v>0.385421511627907</v>
      </c>
      <c r="F59" s="28">
        <v>0.010236571938699597</v>
      </c>
    </row>
    <row r="60" spans="1:6" s="11" customFormat="1" ht="12.75">
      <c r="A60" s="11" t="s">
        <v>105</v>
      </c>
      <c r="B60" s="46">
        <v>0.80625</v>
      </c>
      <c r="C60" s="46">
        <v>0.41239273896796624</v>
      </c>
      <c r="D60" s="28">
        <v>0.009754006043047003</v>
      </c>
      <c r="E60" s="28">
        <v>0.0999013524264121</v>
      </c>
      <c r="F60" s="28">
        <v>0.08892567596247719</v>
      </c>
    </row>
    <row r="61" spans="1:6" s="11" customFormat="1" ht="12.75">
      <c r="A61" s="11" t="s">
        <v>106</v>
      </c>
      <c r="B61" s="46">
        <v>0.8390977443609021</v>
      </c>
      <c r="C61" s="46">
        <v>0.7740578920241828</v>
      </c>
      <c r="D61" s="28">
        <v>0.0008597735160812468</v>
      </c>
      <c r="E61" s="28">
        <v>0.027875799619269753</v>
      </c>
      <c r="F61" s="28">
        <v>0.09262093465990093</v>
      </c>
    </row>
    <row r="62" spans="1:6" s="11" customFormat="1" ht="12.75">
      <c r="A62" s="11" t="s">
        <v>107</v>
      </c>
      <c r="B62" s="46">
        <v>0.8431410256410257</v>
      </c>
      <c r="C62" s="46">
        <v>0.8289971076007457</v>
      </c>
      <c r="D62" s="28">
        <v>0.0059805782650552515</v>
      </c>
      <c r="E62" s="28">
        <v>0.1720403203033604</v>
      </c>
      <c r="F62" s="28">
        <v>0.19628010831868498</v>
      </c>
    </row>
    <row r="63" spans="1:6" s="11" customFormat="1" ht="12.75">
      <c r="A63" s="11" t="s">
        <v>108</v>
      </c>
      <c r="B63" s="46">
        <v>0.8333333333333333</v>
      </c>
      <c r="C63" s="46">
        <v>0.7348862508057569</v>
      </c>
      <c r="D63" s="28">
        <v>0.006223083004692201</v>
      </c>
      <c r="E63" s="28">
        <v>0.1327408195848856</v>
      </c>
      <c r="F63" s="28">
        <v>0.11074846571527507</v>
      </c>
    </row>
    <row r="64" spans="1:6" s="11" customFormat="1" ht="12.75">
      <c r="A64" s="11" t="s">
        <v>109</v>
      </c>
      <c r="B64" s="46">
        <v>0.9470370370370368</v>
      </c>
      <c r="C64" s="46">
        <v>0.7389529255606948</v>
      </c>
      <c r="D64" s="28">
        <v>0.007806453231354142</v>
      </c>
      <c r="E64" s="28">
        <v>0.20279278235558193</v>
      </c>
      <c r="F64" s="28">
        <v>0.07131710410398935</v>
      </c>
    </row>
    <row r="65" spans="1:6" s="11" customFormat="1" ht="12.75">
      <c r="A65" s="11" t="s">
        <v>110</v>
      </c>
      <c r="B65" s="46">
        <v>0.5984848484848484</v>
      </c>
      <c r="C65" s="46">
        <v>0.38344087620409467</v>
      </c>
      <c r="D65" s="28">
        <v>0.016595881155836628</v>
      </c>
      <c r="E65" s="28">
        <v>0.26620691924621026</v>
      </c>
      <c r="F65" s="28">
        <v>0.11795957342746015</v>
      </c>
    </row>
    <row r="66" spans="1:6" s="11" customFormat="1" ht="12.75">
      <c r="A66" s="11" t="s">
        <v>41</v>
      </c>
      <c r="B66" s="46">
        <v>0.7575757575757577</v>
      </c>
      <c r="C66" s="46">
        <v>0.44264567341725436</v>
      </c>
      <c r="D66" s="28">
        <v>0.018213677156405535</v>
      </c>
      <c r="E66" s="28">
        <v>0.1485601038223768</v>
      </c>
      <c r="F66" s="28">
        <v>0.16574586220781148</v>
      </c>
    </row>
    <row r="67" spans="1:6" s="11" customFormat="1" ht="12.75">
      <c r="A67" s="11" t="s">
        <v>42</v>
      </c>
      <c r="B67" s="46">
        <v>0.834375</v>
      </c>
      <c r="C67" s="46">
        <v>0.7302954111966764</v>
      </c>
      <c r="D67" s="28">
        <v>0.005450728170254603</v>
      </c>
      <c r="E67" s="28">
        <v>0.28558988693937654</v>
      </c>
      <c r="F67" s="28">
        <v>0.05959938834281362</v>
      </c>
    </row>
    <row r="68" spans="1:6" s="11" customFormat="1" ht="12.75">
      <c r="A68" s="11" t="s">
        <v>43</v>
      </c>
      <c r="B68" s="46">
        <v>0.84</v>
      </c>
      <c r="C68" s="46">
        <v>0.6006048634042188</v>
      </c>
      <c r="D68" s="28">
        <v>0.005300296123474516</v>
      </c>
      <c r="E68" s="28">
        <v>0.125190621274341</v>
      </c>
      <c r="F68" s="28">
        <v>0.1152842936030885</v>
      </c>
    </row>
    <row r="69" spans="1:6" s="11" customFormat="1" ht="12.75">
      <c r="A69" s="11" t="s">
        <v>44</v>
      </c>
      <c r="B69" s="46">
        <v>0.9862903225806453</v>
      </c>
      <c r="C69" s="46">
        <v>0.9095684892423954</v>
      </c>
      <c r="D69" s="28">
        <v>0.009957765810358293</v>
      </c>
      <c r="E69" s="28">
        <v>0.2412328659902749</v>
      </c>
      <c r="F69" s="28">
        <v>0.13132154113201533</v>
      </c>
    </row>
    <row r="70" spans="1:6" s="11" customFormat="1" ht="12.75">
      <c r="A70" s="11" t="s">
        <v>45</v>
      </c>
      <c r="B70" s="46">
        <v>0.8390625</v>
      </c>
      <c r="C70" s="46">
        <v>0.6574688396560484</v>
      </c>
      <c r="D70" s="28">
        <v>0.0035998679993399967</v>
      </c>
      <c r="E70" s="28">
        <v>0.07719202315857189</v>
      </c>
      <c r="F70" s="28">
        <v>0.08850461643571308</v>
      </c>
    </row>
    <row r="71" spans="1:6" s="11" customFormat="1" ht="12.75">
      <c r="A71" s="11" t="s">
        <v>46</v>
      </c>
      <c r="B71" s="46">
        <v>0.8236842105263157</v>
      </c>
      <c r="C71" s="46">
        <v>0.5831453571882974</v>
      </c>
      <c r="D71" s="28">
        <v>0.01136362141171623</v>
      </c>
      <c r="E71" s="28">
        <v>0.22007968884467943</v>
      </c>
      <c r="F71" s="28">
        <v>0.08297559595847186</v>
      </c>
    </row>
    <row r="72" spans="1:6" s="11" customFormat="1" ht="12.75">
      <c r="A72" s="11" t="s">
        <v>47</v>
      </c>
      <c r="B72" s="46">
        <v>0.8196969696969699</v>
      </c>
      <c r="C72" s="46">
        <v>0.773956520089864</v>
      </c>
      <c r="D72" s="28">
        <v>0.012322149371283815</v>
      </c>
      <c r="E72" s="28">
        <v>0.14351192146207725</v>
      </c>
      <c r="F72" s="28">
        <v>0.21271120726040602</v>
      </c>
    </row>
    <row r="73" spans="1:6" s="11" customFormat="1" ht="12.75">
      <c r="A73" s="11" t="s">
        <v>48</v>
      </c>
      <c r="B73" s="46">
        <v>0.7636986301369864</v>
      </c>
      <c r="C73" s="46">
        <v>0.5887408707202697</v>
      </c>
      <c r="D73" s="28">
        <v>0.0038694115454456996</v>
      </c>
      <c r="E73" s="28">
        <v>0.041402562413233264</v>
      </c>
      <c r="F73" s="28">
        <v>0.2326806260077361</v>
      </c>
    </row>
    <row r="74" spans="1:6" s="11" customFormat="1" ht="12.75">
      <c r="A74" s="11" t="s">
        <v>49</v>
      </c>
      <c r="B74" s="46">
        <v>0.9208333333333333</v>
      </c>
      <c r="C74" s="46">
        <v>0.8468897430389256</v>
      </c>
      <c r="D74" s="28">
        <v>0.00200597779154321</v>
      </c>
      <c r="E74" s="28">
        <v>0.11496764603008046</v>
      </c>
      <c r="F74" s="28">
        <v>0.0980217368944355</v>
      </c>
    </row>
    <row r="75" spans="1:6" s="11" customFormat="1" ht="12.75">
      <c r="A75" s="11" t="s">
        <v>50</v>
      </c>
      <c r="B75" s="46">
        <v>1.435</v>
      </c>
      <c r="C75" s="46">
        <v>0.462071993789295</v>
      </c>
      <c r="D75" s="28">
        <v>0.014005688749432515</v>
      </c>
      <c r="E75" s="28">
        <v>0.10029413716080236</v>
      </c>
      <c r="F75" s="28">
        <v>0.0972881443454238</v>
      </c>
    </row>
    <row r="76" spans="1:6" s="11" customFormat="1" ht="12.75">
      <c r="A76" s="11" t="s">
        <v>37</v>
      </c>
      <c r="B76" s="46">
        <v>0.5605263157894738</v>
      </c>
      <c r="C76" s="46">
        <v>0.5208779685115698</v>
      </c>
      <c r="D76" s="28">
        <v>0.0031296647110489687</v>
      </c>
      <c r="E76" s="28">
        <v>0.4450273799494524</v>
      </c>
      <c r="F76" s="28">
        <v>0.02470677615078002</v>
      </c>
    </row>
    <row r="77" spans="1:6" s="11" customFormat="1" ht="12.75">
      <c r="A77" s="11" t="s">
        <v>51</v>
      </c>
      <c r="B77" s="46">
        <v>1.3141428571428577</v>
      </c>
      <c r="C77" s="46">
        <v>1.3063906408359955</v>
      </c>
      <c r="D77" s="28">
        <v>0.005530658760700958</v>
      </c>
      <c r="E77" s="28">
        <v>0.10979579294844781</v>
      </c>
      <c r="F77" s="28">
        <v>0.10662852264302136</v>
      </c>
    </row>
    <row r="78" spans="1:6" s="11" customFormat="1" ht="12.75">
      <c r="A78" s="11" t="s">
        <v>52</v>
      </c>
      <c r="B78" s="46">
        <v>0.949714285714286</v>
      </c>
      <c r="C78" s="46">
        <v>0.8422198343967846</v>
      </c>
      <c r="D78" s="28">
        <v>0.008134010684909447</v>
      </c>
      <c r="E78" s="28">
        <v>0.3051127673047883</v>
      </c>
      <c r="F78" s="28">
        <v>0.10687456074133847</v>
      </c>
    </row>
    <row r="79" spans="1:6" s="11" customFormat="1" ht="12.75">
      <c r="A79" s="11" t="s">
        <v>53</v>
      </c>
      <c r="B79" s="46">
        <v>0.6485185185185187</v>
      </c>
      <c r="C79" s="46">
        <v>0.5983303301809273</v>
      </c>
      <c r="D79" s="28">
        <v>0.005567476564607415</v>
      </c>
      <c r="E79" s="28">
        <v>0.26089139560516866</v>
      </c>
      <c r="F79" s="28">
        <v>0.12479732616877684</v>
      </c>
    </row>
    <row r="80" spans="1:6" s="11" customFormat="1" ht="12.75">
      <c r="A80" s="11" t="s">
        <v>54</v>
      </c>
      <c r="B80" s="46">
        <v>0.8083333333333335</v>
      </c>
      <c r="C80" s="46">
        <v>0.5760150046852841</v>
      </c>
      <c r="D80" s="28">
        <v>0.006102682792588096</v>
      </c>
      <c r="E80" s="28">
        <v>0.10944987047017833</v>
      </c>
      <c r="F80" s="28">
        <v>0.08752137019431241</v>
      </c>
    </row>
    <row r="81" spans="1:6" s="11" customFormat="1" ht="12.75">
      <c r="A81" s="11" t="s">
        <v>55</v>
      </c>
      <c r="B81" s="46">
        <v>0.9112244897959182</v>
      </c>
      <c r="C81" s="46">
        <v>0.7763729749229075</v>
      </c>
      <c r="D81" s="28">
        <v>0.004266860733014928</v>
      </c>
      <c r="E81" s="28">
        <v>0.11451133575424478</v>
      </c>
      <c r="F81" s="28">
        <v>0.09897864221780547</v>
      </c>
    </row>
    <row r="82" spans="1:6" s="11" customFormat="1" ht="12.75">
      <c r="A82" s="11" t="s">
        <v>56</v>
      </c>
      <c r="B82" s="46">
        <v>0.7558823529411766</v>
      </c>
      <c r="C82" s="46">
        <v>0.6903098519401357</v>
      </c>
      <c r="D82" s="28">
        <v>0.0021271004373513394</v>
      </c>
      <c r="E82" s="28">
        <v>0.048435400367415636</v>
      </c>
      <c r="F82" s="28">
        <v>0.17355001538386078</v>
      </c>
    </row>
    <row r="83" spans="1:6" s="11" customFormat="1" ht="12.75">
      <c r="A83" s="11" t="s">
        <v>57</v>
      </c>
      <c r="B83" s="46">
        <v>1.1039285714285714</v>
      </c>
      <c r="C83" s="46">
        <v>1.110578110385387</v>
      </c>
      <c r="D83" s="28">
        <v>0.0015460412514993562</v>
      </c>
      <c r="E83" s="28">
        <v>0.042723550833047505</v>
      </c>
      <c r="F83" s="28">
        <v>0.10707300549402893</v>
      </c>
    </row>
    <row r="84" spans="1:6" s="11" customFormat="1" ht="12.75">
      <c r="A84" s="11" t="s">
        <v>58</v>
      </c>
      <c r="B84" s="46">
        <v>0.9375</v>
      </c>
      <c r="C84" s="46">
        <v>0.92451254984495</v>
      </c>
      <c r="D84" s="28">
        <v>0.0023523987697426823</v>
      </c>
      <c r="E84" s="28">
        <v>0.07123147581935753</v>
      </c>
      <c r="F84" s="28">
        <v>0.15796342501058447</v>
      </c>
    </row>
    <row r="85" spans="1:6" s="11" customFormat="1" ht="12.75">
      <c r="A85" s="11" t="s">
        <v>59</v>
      </c>
      <c r="B85" s="46">
        <v>0.9263157894736841</v>
      </c>
      <c r="C85" s="46">
        <v>0.8225387592945373</v>
      </c>
      <c r="D85" s="28">
        <v>0.0031863430729542315</v>
      </c>
      <c r="E85" s="28">
        <v>0.09583570164037694</v>
      </c>
      <c r="F85" s="28">
        <v>0.13109846825471785</v>
      </c>
    </row>
    <row r="86" spans="1:6" s="11" customFormat="1" ht="12.75">
      <c r="A86" s="11" t="s">
        <v>60</v>
      </c>
      <c r="B86" s="46">
        <v>1.2964705882352943</v>
      </c>
      <c r="C86" s="46">
        <v>0.9590456843238065</v>
      </c>
      <c r="D86" s="28">
        <v>0.007402403558334382</v>
      </c>
      <c r="E86" s="28">
        <v>0.20473869098423256</v>
      </c>
      <c r="F86" s="28">
        <v>0.13805031602552018</v>
      </c>
    </row>
    <row r="87" spans="1:6" s="11" customFormat="1" ht="12.75">
      <c r="A87" s="11" t="s">
        <v>61</v>
      </c>
      <c r="B87" s="46">
        <v>2.1144594594594603</v>
      </c>
      <c r="C87" s="46">
        <v>2.269784836508163</v>
      </c>
      <c r="D87" s="28">
        <v>0.0018604300518924792</v>
      </c>
      <c r="E87" s="28">
        <v>0.04349471866154871</v>
      </c>
      <c r="F87" s="28">
        <v>0.11482695550879382</v>
      </c>
    </row>
    <row r="88" spans="1:6" s="11" customFormat="1" ht="12.75">
      <c r="A88" s="11" t="s">
        <v>62</v>
      </c>
      <c r="B88" s="46">
        <v>2.12</v>
      </c>
      <c r="C88" s="46">
        <v>2.3665787663031406</v>
      </c>
      <c r="D88" s="28">
        <v>0</v>
      </c>
      <c r="E88" s="28">
        <v>0</v>
      </c>
      <c r="F88" s="28">
        <v>0.15032675155662759</v>
      </c>
    </row>
    <row r="89" spans="1:6" s="11" customFormat="1" ht="12.75">
      <c r="A89" s="11" t="s">
        <v>63</v>
      </c>
      <c r="B89" s="46">
        <v>0.86</v>
      </c>
      <c r="C89" s="46">
        <v>0.8296443948890525</v>
      </c>
      <c r="D89" s="28">
        <v>0.003539411381598634</v>
      </c>
      <c r="E89" s="28">
        <v>0.08245527705161719</v>
      </c>
      <c r="F89" s="28">
        <v>0.14453894824188362</v>
      </c>
    </row>
    <row r="90" spans="1:6" s="11" customFormat="1" ht="12.75">
      <c r="A90" s="11" t="s">
        <v>64</v>
      </c>
      <c r="B90" s="46">
        <v>0.78</v>
      </c>
      <c r="C90" s="46">
        <v>0.6558024381028252</v>
      </c>
      <c r="D90" s="28">
        <v>0.009240799219989231</v>
      </c>
      <c r="E90" s="28">
        <v>0.4859383967859192</v>
      </c>
      <c r="F90" s="28">
        <v>0.026420339668418925</v>
      </c>
    </row>
    <row r="91" spans="1:6" s="11" customFormat="1" ht="12.75">
      <c r="A91" s="11" t="s">
        <v>65</v>
      </c>
      <c r="B91" s="46">
        <v>0.8741666666666666</v>
      </c>
      <c r="C91" s="46">
        <v>0.5337962786275822</v>
      </c>
      <c r="D91" s="28">
        <v>0.004279923954849761</v>
      </c>
      <c r="E91" s="28">
        <v>0.19817838466008134</v>
      </c>
      <c r="F91" s="28">
        <v>0.021761602341806362</v>
      </c>
    </row>
    <row r="92" spans="1:6" s="11" customFormat="1" ht="12.75">
      <c r="A92" s="11" t="s">
        <v>66</v>
      </c>
      <c r="B92" s="46">
        <v>1.8879104477611934</v>
      </c>
      <c r="C92" s="46">
        <v>2.069052401204112</v>
      </c>
      <c r="D92" s="28">
        <v>0.0014032314473722727</v>
      </c>
      <c r="E92" s="28" t="s">
        <v>19</v>
      </c>
      <c r="F92" s="28">
        <v>-0.055933978569485</v>
      </c>
    </row>
    <row r="93" spans="1:6" s="11" customFormat="1" ht="12.75">
      <c r="A93" s="11" t="s">
        <v>67</v>
      </c>
      <c r="B93" s="46">
        <v>1.5857142857142856</v>
      </c>
      <c r="C93" s="46">
        <v>0.9029741310850914</v>
      </c>
      <c r="D93" s="28">
        <v>0.014532020736631419</v>
      </c>
      <c r="E93" s="28">
        <v>2.086091708164834</v>
      </c>
      <c r="F93" s="28">
        <v>0.007881593551217517</v>
      </c>
    </row>
    <row r="94" spans="1:6" s="11" customFormat="1" ht="12.75">
      <c r="A94" s="11" t="s">
        <v>68</v>
      </c>
      <c r="B94" s="46">
        <v>0.8205882352941176</v>
      </c>
      <c r="C94" s="46">
        <v>0.26039469461848136</v>
      </c>
      <c r="D94" s="28">
        <v>0.0012302704163195462</v>
      </c>
      <c r="E94" s="28" t="s">
        <v>19</v>
      </c>
      <c r="F94" s="28">
        <v>-0.07660133843212237</v>
      </c>
    </row>
    <row r="95" spans="1:6" s="11" customFormat="1" ht="12.75">
      <c r="A95" s="11" t="s">
        <v>69</v>
      </c>
      <c r="B95" s="46">
        <v>0.7107843137254898</v>
      </c>
      <c r="C95" s="46">
        <v>0.7031019296855038</v>
      </c>
      <c r="D95" s="28">
        <v>0.010543665635290272</v>
      </c>
      <c r="E95" s="28">
        <v>0.28303727170121074</v>
      </c>
      <c r="F95" s="28">
        <v>0.1560127582770723</v>
      </c>
    </row>
    <row r="96" spans="1:6" s="11" customFormat="1" ht="12.75">
      <c r="A96" s="11" t="s">
        <v>70</v>
      </c>
      <c r="B96" s="46">
        <v>0.938888888888889</v>
      </c>
      <c r="C96" s="46">
        <v>0.6245812186523226</v>
      </c>
      <c r="D96" s="28">
        <v>0.011286963058158848</v>
      </c>
      <c r="E96" s="28">
        <v>0.24476403312738268</v>
      </c>
      <c r="F96" s="28">
        <v>0.0576812253563846</v>
      </c>
    </row>
    <row r="97" spans="1:6" s="11" customFormat="1" ht="12.75">
      <c r="A97" s="11" t="s">
        <v>71</v>
      </c>
      <c r="B97" s="46">
        <v>0.605</v>
      </c>
      <c r="C97" s="46">
        <v>0.5310098989705988</v>
      </c>
      <c r="D97" s="28">
        <v>0.02289208050044244</v>
      </c>
      <c r="E97" s="28">
        <v>0.2893267437838021</v>
      </c>
      <c r="F97" s="28">
        <v>0.3584663985954237</v>
      </c>
    </row>
    <row r="98" spans="1:6" s="11" customFormat="1" ht="12.75">
      <c r="A98" s="11" t="s">
        <v>72</v>
      </c>
      <c r="B98" s="46">
        <v>0.8058823529411764</v>
      </c>
      <c r="C98" s="46">
        <v>0.7352509508151129</v>
      </c>
      <c r="D98" s="28">
        <v>0.008118352846456305</v>
      </c>
      <c r="E98" s="28">
        <v>0.2209564573395195</v>
      </c>
      <c r="F98" s="28">
        <v>0.49465041859262365</v>
      </c>
    </row>
    <row r="99" spans="1:6" s="11" customFormat="1" ht="12.75">
      <c r="A99" s="11" t="s">
        <v>73</v>
      </c>
      <c r="B99" s="46">
        <v>0.8828125</v>
      </c>
      <c r="C99" s="46">
        <v>0.7856972715971071</v>
      </c>
      <c r="D99" s="28">
        <v>0.005381718897844253</v>
      </c>
      <c r="E99" s="28">
        <v>0.14149776698738123</v>
      </c>
      <c r="F99" s="28">
        <v>0.1699479912181058</v>
      </c>
    </row>
    <row r="100" spans="1:6" s="11" customFormat="1" ht="12.75">
      <c r="A100" s="11" t="s">
        <v>74</v>
      </c>
      <c r="B100" s="46">
        <v>0.5076923076923077</v>
      </c>
      <c r="C100" s="46">
        <v>0.3419738364586059</v>
      </c>
      <c r="D100" s="28">
        <v>0.011131546066332012</v>
      </c>
      <c r="E100" s="28">
        <v>0.24546706948640482</v>
      </c>
      <c r="F100" s="28">
        <v>0.09946272101157493</v>
      </c>
    </row>
    <row r="101" spans="1:6" s="11" customFormat="1" ht="12.75">
      <c r="A101" s="11" t="s">
        <v>75</v>
      </c>
      <c r="B101" s="46">
        <v>2.332058823529412</v>
      </c>
      <c r="C101" s="46">
        <v>1.6869117396503026</v>
      </c>
      <c r="D101" s="28">
        <v>5.2629565882577925E-05</v>
      </c>
      <c r="E101" s="28" t="s">
        <v>19</v>
      </c>
      <c r="F101" s="28">
        <v>-0.2858559377417877</v>
      </c>
    </row>
    <row r="102" spans="1:6" s="11" customFormat="1" ht="12.75">
      <c r="A102" s="11" t="s">
        <v>76</v>
      </c>
      <c r="B102" s="46">
        <v>0.992119514472454</v>
      </c>
      <c r="C102" s="46">
        <v>0.8215795932067608</v>
      </c>
      <c r="D102" s="28">
        <v>0.008035735631744884</v>
      </c>
      <c r="E102" s="28">
        <v>0.2278420671094479</v>
      </c>
      <c r="F102" s="28">
        <v>0.0902396777954041</v>
      </c>
    </row>
    <row r="103" spans="2:6" s="11" customFormat="1" ht="12.75">
      <c r="B103" s="13"/>
      <c r="C103" s="13"/>
      <c r="D103" s="13"/>
      <c r="E103" s="13"/>
      <c r="F103" s="13"/>
    </row>
    <row r="104" spans="2:6" s="11" customFormat="1" ht="12.75">
      <c r="B104" s="13"/>
      <c r="C104" s="13"/>
      <c r="D104" s="13"/>
      <c r="E104" s="13"/>
      <c r="F104" s="13"/>
    </row>
    <row r="105" spans="2:6" s="11" customFormat="1" ht="12.75">
      <c r="B105" s="13"/>
      <c r="C105" s="13"/>
      <c r="D105" s="13"/>
      <c r="E105" s="13"/>
      <c r="F105" s="13"/>
    </row>
    <row r="106" spans="2:6" s="11" customFormat="1" ht="12.75">
      <c r="B106" s="13"/>
      <c r="C106" s="13"/>
      <c r="D106" s="13"/>
      <c r="E106" s="13"/>
      <c r="F106" s="13"/>
    </row>
    <row r="107" spans="2:6" s="11" customFormat="1" ht="12.75">
      <c r="B107" s="13"/>
      <c r="C107" s="13"/>
      <c r="D107" s="13"/>
      <c r="E107" s="13"/>
      <c r="F107" s="13"/>
    </row>
    <row r="108" spans="2:6" s="11" customFormat="1" ht="12.75">
      <c r="B108" s="13"/>
      <c r="C108" s="13"/>
      <c r="D108" s="13"/>
      <c r="E108" s="13"/>
      <c r="F108" s="13"/>
    </row>
    <row r="109" spans="2:6" s="11" customFormat="1" ht="12.75">
      <c r="B109" s="13"/>
      <c r="C109" s="13"/>
      <c r="D109" s="13"/>
      <c r="E109" s="13"/>
      <c r="F109" s="13"/>
    </row>
    <row r="110" spans="2:6" s="11" customFormat="1" ht="12.75">
      <c r="B110" s="13"/>
      <c r="C110" s="13"/>
      <c r="D110" s="13"/>
      <c r="E110" s="13"/>
      <c r="F110" s="13"/>
    </row>
    <row r="111" spans="2:6" s="11" customFormat="1" ht="12.75">
      <c r="B111" s="13"/>
      <c r="C111" s="13"/>
      <c r="D111" s="13"/>
      <c r="E111" s="13"/>
      <c r="F111" s="13"/>
    </row>
    <row r="112" spans="2:6" s="11" customFormat="1" ht="12.75">
      <c r="B112" s="13"/>
      <c r="C112" s="13"/>
      <c r="D112" s="13"/>
      <c r="E112" s="13"/>
      <c r="F112" s="13"/>
    </row>
    <row r="113" spans="2:6" s="11" customFormat="1" ht="12.75">
      <c r="B113" s="13"/>
      <c r="C113" s="13"/>
      <c r="D113" s="13"/>
      <c r="E113" s="13"/>
      <c r="F113" s="13"/>
    </row>
    <row r="114" spans="2:6" s="11" customFormat="1" ht="12.75">
      <c r="B114" s="13"/>
      <c r="C114" s="13"/>
      <c r="D114" s="13"/>
      <c r="E114" s="13"/>
      <c r="F114" s="13"/>
    </row>
    <row r="115" spans="2:6" s="11" customFormat="1" ht="12.75">
      <c r="B115" s="13"/>
      <c r="C115" s="13"/>
      <c r="D115" s="13"/>
      <c r="E115" s="13"/>
      <c r="F115" s="13"/>
    </row>
    <row r="116" spans="2:6" s="11" customFormat="1" ht="12.75">
      <c r="B116" s="13"/>
      <c r="C116" s="13"/>
      <c r="D116" s="13"/>
      <c r="E116" s="13"/>
      <c r="F116" s="13"/>
    </row>
    <row r="117" spans="2:6" s="11" customFormat="1" ht="12.75">
      <c r="B117" s="13"/>
      <c r="C117" s="13"/>
      <c r="D117" s="13"/>
      <c r="E117" s="13"/>
      <c r="F117" s="13"/>
    </row>
    <row r="118" spans="2:6" s="11" customFormat="1" ht="12.75">
      <c r="B118" s="13"/>
      <c r="C118" s="13"/>
      <c r="D118" s="13"/>
      <c r="E118" s="13"/>
      <c r="F118" s="13"/>
    </row>
    <row r="119" spans="2:6" s="11" customFormat="1" ht="12.75">
      <c r="B119" s="13"/>
      <c r="C119" s="13"/>
      <c r="D119" s="13"/>
      <c r="E119" s="13"/>
      <c r="F119" s="13"/>
    </row>
    <row r="120" spans="2:6" s="11" customFormat="1" ht="12.75">
      <c r="B120" s="13"/>
      <c r="C120" s="13"/>
      <c r="D120" s="13"/>
      <c r="E120" s="13"/>
      <c r="F120" s="13"/>
    </row>
    <row r="121" spans="2:6" s="11" customFormat="1" ht="12.75">
      <c r="B121" s="13"/>
      <c r="C121" s="13"/>
      <c r="D121" s="13"/>
      <c r="E121" s="13"/>
      <c r="F121" s="13"/>
    </row>
    <row r="122" spans="2:6" s="11" customFormat="1" ht="12.75">
      <c r="B122" s="13"/>
      <c r="C122" s="13"/>
      <c r="D122" s="13"/>
      <c r="E122" s="13"/>
      <c r="F122" s="13"/>
    </row>
    <row r="123" spans="2:6" s="11" customFormat="1" ht="12.75">
      <c r="B123" s="13"/>
      <c r="C123" s="13"/>
      <c r="D123" s="13"/>
      <c r="E123" s="13"/>
      <c r="F123" s="13"/>
    </row>
    <row r="124" spans="2:6" s="11" customFormat="1" ht="12.75">
      <c r="B124" s="13"/>
      <c r="C124" s="13"/>
      <c r="D124" s="13"/>
      <c r="E124" s="13"/>
      <c r="F124" s="13"/>
    </row>
    <row r="125" spans="2:6" s="11" customFormat="1" ht="12.75">
      <c r="B125" s="13"/>
      <c r="C125" s="13"/>
      <c r="D125" s="13"/>
      <c r="E125" s="13"/>
      <c r="F125" s="13"/>
    </row>
    <row r="126" spans="2:6" s="11" customFormat="1" ht="12.75">
      <c r="B126" s="13"/>
      <c r="C126" s="13"/>
      <c r="D126" s="13"/>
      <c r="E126" s="13"/>
      <c r="F126" s="13"/>
    </row>
    <row r="127" spans="2:6" s="11" customFormat="1" ht="12.75">
      <c r="B127" s="13"/>
      <c r="C127" s="13"/>
      <c r="D127" s="13"/>
      <c r="E127" s="13"/>
      <c r="F127" s="13"/>
    </row>
    <row r="128" spans="2:6" s="11" customFormat="1" ht="12.75">
      <c r="B128" s="13"/>
      <c r="C128" s="13"/>
      <c r="D128" s="13"/>
      <c r="E128" s="13"/>
      <c r="F128" s="13"/>
    </row>
    <row r="129" spans="2:6" s="11" customFormat="1" ht="12.75">
      <c r="B129" s="13"/>
      <c r="C129" s="13"/>
      <c r="D129" s="13"/>
      <c r="E129" s="13"/>
      <c r="F129" s="13"/>
    </row>
    <row r="130" spans="2:6" s="11" customFormat="1" ht="12.75">
      <c r="B130" s="13"/>
      <c r="C130" s="13"/>
      <c r="D130" s="13"/>
      <c r="E130" s="13"/>
      <c r="F130" s="13"/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Snapshot</dc:title>
  <dc:subject/>
  <dc:creator>Silmar</dc:creator>
  <cp:keywords/>
  <dc:description/>
  <cp:lastModifiedBy>Silmar</cp:lastModifiedBy>
  <dcterms:created xsi:type="dcterms:W3CDTF">2000-04-06T19:14:27Z</dcterms:created>
  <dcterms:modified xsi:type="dcterms:W3CDTF">2011-12-07T19:37:24Z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